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townofkewaskumwi-my.sharepoint.com/personal/clerk_townofkewaskumwi_gov/Documents/Documents/Documents/ARIP/BID DOCUMENTS FOR WEBSITE/"/>
    </mc:Choice>
  </mc:AlternateContent>
  <xr:revisionPtr revIDLastSave="0" documentId="8_{A44F07CE-CDD8-4A8C-9475-21B5ABDC5D53}" xr6:coauthVersionLast="47" xr6:coauthVersionMax="47" xr10:uidLastSave="{00000000-0000-0000-0000-000000000000}"/>
  <bookViews>
    <workbookView xWindow="390" yWindow="390" windowWidth="14835" windowHeight="15480" xr2:uid="{00000000-000D-0000-FFFF-FFFF00000000}"/>
  </bookViews>
  <sheets>
    <sheet name="Base" sheetId="7" r:id="rId1"/>
    <sheet name="CTH H-STH 28" sheetId="9" r:id="rId2"/>
    <sheet name="STH 28-W Moraine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8" l="1"/>
  <c r="D46" i="9"/>
  <c r="D44" i="8"/>
  <c r="F44" i="8" s="1"/>
  <c r="D43" i="8"/>
  <c r="F43" i="8" s="1"/>
  <c r="D42" i="8"/>
  <c r="F42" i="8" s="1"/>
  <c r="F41" i="8"/>
  <c r="F40" i="8"/>
  <c r="D50" i="7"/>
  <c r="F50" i="7" s="1"/>
  <c r="F38" i="8"/>
  <c r="D38" i="8"/>
  <c r="D37" i="8"/>
  <c r="F37" i="8" s="1"/>
  <c r="F36" i="8"/>
  <c r="D35" i="8"/>
  <c r="F35" i="8" s="1"/>
  <c r="F34" i="8"/>
  <c r="F33" i="8"/>
  <c r="F32" i="8"/>
  <c r="F31" i="8"/>
  <c r="F30" i="8"/>
  <c r="F29" i="8"/>
  <c r="F28" i="8"/>
  <c r="F27" i="8"/>
  <c r="F26" i="8"/>
  <c r="F25" i="8"/>
  <c r="F24" i="8"/>
  <c r="D23" i="8"/>
  <c r="F23" i="8" s="1"/>
  <c r="D22" i="8"/>
  <c r="D24" i="8" s="1"/>
  <c r="D25" i="8" s="1"/>
  <c r="F21" i="8"/>
  <c r="F20" i="8"/>
  <c r="F19" i="8"/>
  <c r="D18" i="8"/>
  <c r="F18" i="8" s="1"/>
  <c r="F17" i="8"/>
  <c r="F16" i="8"/>
  <c r="F15" i="8"/>
  <c r="A15" i="8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F14" i="8"/>
  <c r="F52" i="9"/>
  <c r="D52" i="9"/>
  <c r="F51" i="9"/>
  <c r="D51" i="9"/>
  <c r="D50" i="9"/>
  <c r="F50" i="9" s="1"/>
  <c r="F49" i="9"/>
  <c r="F48" i="9"/>
  <c r="F47" i="9"/>
  <c r="F46" i="9"/>
  <c r="D45" i="9"/>
  <c r="F44" i="9"/>
  <c r="D44" i="9"/>
  <c r="F43" i="9"/>
  <c r="D43" i="9"/>
  <c r="D42" i="9"/>
  <c r="F42" i="9" s="1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D27" i="9"/>
  <c r="F27" i="9" s="1"/>
  <c r="D26" i="9"/>
  <c r="F26" i="9" s="1"/>
  <c r="D25" i="9"/>
  <c r="F25" i="9" s="1"/>
  <c r="D24" i="9"/>
  <c r="F24" i="9" s="1"/>
  <c r="D23" i="9"/>
  <c r="F23" i="9" s="1"/>
  <c r="D22" i="9"/>
  <c r="F22" i="9" s="1"/>
  <c r="D21" i="9"/>
  <c r="F21" i="9" s="1"/>
  <c r="F20" i="9"/>
  <c r="F19" i="9"/>
  <c r="D18" i="9"/>
  <c r="F18" i="9" s="1"/>
  <c r="F17" i="9"/>
  <c r="F16" i="9"/>
  <c r="F15" i="9"/>
  <c r="A15" i="9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F14" i="9"/>
  <c r="D56" i="7"/>
  <c r="F56" i="7" s="1"/>
  <c r="D55" i="7"/>
  <c r="F55" i="7" s="1"/>
  <c r="D54" i="7"/>
  <c r="F54" i="7" s="1"/>
  <c r="D53" i="7"/>
  <c r="F53" i="7" s="1"/>
  <c r="D52" i="7"/>
  <c r="F52" i="7" s="1"/>
  <c r="D51" i="7"/>
  <c r="F51" i="7" s="1"/>
  <c r="D47" i="7"/>
  <c r="F47" i="7" s="1"/>
  <c r="D46" i="7"/>
  <c r="F46" i="7" s="1"/>
  <c r="D45" i="7"/>
  <c r="F45" i="7" s="1"/>
  <c r="D44" i="7"/>
  <c r="F44" i="7" s="1"/>
  <c r="D43" i="7"/>
  <c r="F43" i="7" s="1"/>
  <c r="D42" i="7"/>
  <c r="F42" i="7" s="1"/>
  <c r="D41" i="7"/>
  <c r="F41" i="7" s="1"/>
  <c r="D40" i="7"/>
  <c r="F40" i="7" s="1"/>
  <c r="D39" i="7"/>
  <c r="F39" i="7" s="1"/>
  <c r="D38" i="7"/>
  <c r="F38" i="7" s="1"/>
  <c r="D37" i="7"/>
  <c r="F37" i="7" s="1"/>
  <c r="D36" i="7"/>
  <c r="F36" i="7" s="1"/>
  <c r="D35" i="7"/>
  <c r="F35" i="7" s="1"/>
  <c r="D34" i="7"/>
  <c r="F34" i="7" s="1"/>
  <c r="D33" i="7"/>
  <c r="F33" i="7" s="1"/>
  <c r="D32" i="7"/>
  <c r="F32" i="7" s="1"/>
  <c r="D31" i="7"/>
  <c r="F31" i="7" s="1"/>
  <c r="D26" i="7"/>
  <c r="F26" i="7" s="1"/>
  <c r="D25" i="7"/>
  <c r="F25" i="7" s="1"/>
  <c r="D24" i="7"/>
  <c r="F24" i="7" s="1"/>
  <c r="D21" i="7"/>
  <c r="F21" i="7" s="1"/>
  <c r="D20" i="7"/>
  <c r="F20" i="7" s="1"/>
  <c r="D19" i="7"/>
  <c r="F19" i="7" s="1"/>
  <c r="D18" i="7"/>
  <c r="F18" i="7" s="1"/>
  <c r="D17" i="7"/>
  <c r="F17" i="7" s="1"/>
  <c r="D16" i="7"/>
  <c r="F16" i="7" s="1"/>
  <c r="D15" i="7"/>
  <c r="F15" i="7" s="1"/>
  <c r="A15" i="7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3" i="7" s="1"/>
  <c r="A34" i="7" s="1"/>
  <c r="A35" i="7" s="1"/>
  <c r="A36" i="7" s="1"/>
  <c r="A37" i="7" s="1"/>
  <c r="A32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D14" i="7"/>
  <c r="F14" i="7" s="1"/>
  <c r="D48" i="7" l="1"/>
  <c r="F48" i="7" s="1"/>
  <c r="D49" i="7"/>
  <c r="F49" i="7" s="1"/>
  <c r="A39" i="8"/>
  <c r="A37" i="8"/>
  <c r="A44" i="9"/>
  <c r="A47" i="9" s="1"/>
  <c r="A48" i="9" s="1"/>
  <c r="A49" i="9" s="1"/>
  <c r="A50" i="9" s="1"/>
  <c r="A51" i="9" s="1"/>
  <c r="A52" i="9" s="1"/>
  <c r="A46" i="9"/>
  <c r="A45" i="9" s="1"/>
  <c r="F45" i="9"/>
  <c r="F22" i="8"/>
  <c r="D27" i="7"/>
  <c r="F27" i="7" s="1"/>
  <c r="D28" i="7"/>
  <c r="F28" i="7" s="1"/>
  <c r="D22" i="7"/>
  <c r="F22" i="7" s="1"/>
  <c r="D29" i="7"/>
  <c r="F29" i="7" s="1"/>
  <c r="D28" i="9"/>
  <c r="F39" i="8"/>
  <c r="D23" i="7"/>
  <c r="F23" i="7" s="1"/>
  <c r="F45" i="8" l="1"/>
  <c r="F46" i="8" s="1"/>
  <c r="F47" i="8" s="1"/>
  <c r="D30" i="7"/>
  <c r="F30" i="7" s="1"/>
  <c r="F57" i="7" s="1"/>
  <c r="F28" i="9"/>
  <c r="F53" i="9" s="1"/>
  <c r="A38" i="8"/>
  <c r="A40" i="8"/>
  <c r="A41" i="8" s="1"/>
  <c r="A42" i="8" s="1"/>
  <c r="A43" i="8" s="1"/>
  <c r="A44" i="8" s="1"/>
  <c r="F58" i="7" l="1"/>
  <c r="F59" i="7" s="1"/>
  <c r="F54" i="9"/>
  <c r="F55" i="9" s="1"/>
</calcChain>
</file>

<file path=xl/sharedStrings.xml><?xml version="1.0" encoding="utf-8"?>
<sst xmlns="http://schemas.openxmlformats.org/spreadsheetml/2006/main" count="280" uniqueCount="70">
  <si>
    <t>Cost Estimate</t>
  </si>
  <si>
    <t>For:</t>
  </si>
  <si>
    <t>Highland Drive Reconstruction</t>
  </si>
  <si>
    <t xml:space="preserve">To:   </t>
  </si>
  <si>
    <t>Town of Kewaskum</t>
  </si>
  <si>
    <t>Attn: Anne Tratner, Town Clerk</t>
  </si>
  <si>
    <t>PO Box 484</t>
  </si>
  <si>
    <t>Kewaskum, WI 53040</t>
  </si>
  <si>
    <t>Base Schedule: Highland Drive</t>
  </si>
  <si>
    <t>ITEM NUMBER</t>
  </si>
  <si>
    <t>ITEM</t>
  </si>
  <si>
    <t>UNIT</t>
  </si>
  <si>
    <t>QTY</t>
  </si>
  <si>
    <t>UNIT PRICE</t>
  </si>
  <si>
    <t>TOTAL COST</t>
  </si>
  <si>
    <t>Traffic Control</t>
  </si>
  <si>
    <t>LS</t>
  </si>
  <si>
    <t>Clearing &amp; Grubbing</t>
  </si>
  <si>
    <t>Silt Fence</t>
  </si>
  <si>
    <t>LF</t>
  </si>
  <si>
    <t>Sawcut Pavement</t>
  </si>
  <si>
    <t>Remove  Asphalt Pavement</t>
  </si>
  <si>
    <t>SY</t>
  </si>
  <si>
    <t>Remove Concrete Pavement</t>
  </si>
  <si>
    <t>Remove Trees</t>
  </si>
  <si>
    <t>EA</t>
  </si>
  <si>
    <t>Moving Existing Signs</t>
  </si>
  <si>
    <t>Remove 12" Culvert</t>
  </si>
  <si>
    <t>Remove 15" Culvert</t>
  </si>
  <si>
    <t>Remove 18" Culvert</t>
  </si>
  <si>
    <t>Remove 24" Culvert</t>
  </si>
  <si>
    <t>Remove 36" Culvert</t>
  </si>
  <si>
    <t xml:space="preserve">Unclassified Excavation </t>
  </si>
  <si>
    <t>CY</t>
  </si>
  <si>
    <t>Earthwork Fill (from Unclassified Exc.)</t>
  </si>
  <si>
    <t>Excavation Below Subgrade</t>
  </si>
  <si>
    <t>Undercut</t>
  </si>
  <si>
    <t>15" RCP Storm Sewer</t>
  </si>
  <si>
    <t>36" RCP Storm Sewer</t>
  </si>
  <si>
    <t>24" RCP Storm Sewer</t>
  </si>
  <si>
    <t>12" HDPE Storm Sewer</t>
  </si>
  <si>
    <t>15" HDPE Storm Sewer</t>
  </si>
  <si>
    <t>18" HDPE Storm Sewer</t>
  </si>
  <si>
    <t>24" HDPE Storm Sewer</t>
  </si>
  <si>
    <t>12" Apron Endwall</t>
  </si>
  <si>
    <t>15" Apron Endwall</t>
  </si>
  <si>
    <t>18" Apron Endwall</t>
  </si>
  <si>
    <t>24" Apron Endwall</t>
  </si>
  <si>
    <t>36" Apron Endwall</t>
  </si>
  <si>
    <t>30" Curb and Gutter</t>
  </si>
  <si>
    <t>Concrete Flume</t>
  </si>
  <si>
    <t>Light Rip Rap w/ Fabric</t>
  </si>
  <si>
    <t>1-1/4" Aggregate Base Dense</t>
  </si>
  <si>
    <t>TON</t>
  </si>
  <si>
    <t>Finish Grading</t>
  </si>
  <si>
    <t>2 1/4" 3 LT 58-28 S Asphalt Binder</t>
  </si>
  <si>
    <t>Tack Coat</t>
  </si>
  <si>
    <t>1 3/4" 4 LT 58-28 S Asphalt Surface</t>
  </si>
  <si>
    <t>4" Asphalt Pavement for Driveways w/ 6" CABC</t>
  </si>
  <si>
    <t>6" - 3/4" Aggregate Base Dense Driveway</t>
  </si>
  <si>
    <t>5" Concrete Driveway w/ 6" CABC</t>
  </si>
  <si>
    <t>Temporary Seed and Mulch</t>
  </si>
  <si>
    <t>Restoration (Topsoil, Seed and Fertilizer)</t>
  </si>
  <si>
    <t>Class I, Type A Erosion Mat</t>
  </si>
  <si>
    <t>Total Cost</t>
  </si>
  <si>
    <t>Contingency (15%)</t>
  </si>
  <si>
    <t>Total Cost + Contingency</t>
  </si>
  <si>
    <t>Base Schedule: Highland Drive, CTH H - STH 28</t>
  </si>
  <si>
    <t>Base Schedule: Highland Drive, STH 28 - W Moraine Drive</t>
  </si>
  <si>
    <t>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</si>
</sst>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"/>
  </numFmts>
  <fonts count="13" x14ac:knownFonts="1">
    <font>
      <sz val="11"/>
      <color theme="1"/>
      <name val="Calibri"/>
    </font>
    <font>
      <b/>
      <sz val="10"/>
      <color rgb="FF0000FF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264C"/>
      <name val="Calibri"/>
      <family val="2"/>
    </font>
    <font>
      <sz val="10"/>
      <color rgb="FFFF00FF"/>
      <name val="Calibri"/>
      <family val="2"/>
    </font>
    <font>
      <b/>
      <sz val="16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  <border>
      <left style="thin">
        <color rgb="FF222222"/>
      </left>
      <right style="medium">
        <color indexed="64"/>
      </right>
      <top style="thin">
        <color rgb="FF222222"/>
      </top>
      <bottom style="thin">
        <color rgb="FF2222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medium">
        <color indexed="64"/>
      </bottom>
      <diagonal/>
    </border>
    <border>
      <left style="thin">
        <color rgb="FF222222"/>
      </left>
      <right style="medium">
        <color indexed="64"/>
      </right>
      <top style="thin">
        <color rgb="FF222222"/>
      </top>
      <bottom style="medium">
        <color indexed="64"/>
      </bottom>
      <diagonal/>
    </border>
    <border>
      <left style="thin">
        <color rgb="FF222222"/>
      </left>
      <right style="thin">
        <color rgb="FF222222"/>
      </right>
      <top/>
      <bottom style="thin">
        <color rgb="FF222222"/>
      </bottom>
      <diagonal/>
    </border>
    <border>
      <left style="thin">
        <color rgb="FF222222"/>
      </left>
      <right style="medium">
        <color indexed="64"/>
      </right>
      <top/>
      <bottom style="thin">
        <color rgb="FF222222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43" fontId="7" fillId="0" borderId="0" applyFont="0" applyFill="0" applyBorder="0" applyAlignment="0" applyProtection="0"/>
    <xf numFmtId="0" fontId="5" fillId="0" borderId="0"/>
  </cellStyleXfs>
  <cellXfs count="73">
    <xf numFmtId="0" fontId="0" fillId="0" borderId="0" xfId="0"/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 vertical="center" wrapText="1"/>
    </xf>
    <xf numFmtId="0" fontId="4" fillId="0" borderId="2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4" fontId="4" fillId="3" borderId="1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4" fontId="4" fillId="3" borderId="11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3" borderId="12" xfId="0" applyFont="1" applyFill="1" applyBorder="1"/>
    <xf numFmtId="0" fontId="4" fillId="3" borderId="8" xfId="0" applyFont="1" applyFill="1" applyBorder="1"/>
    <xf numFmtId="0" fontId="4" fillId="3" borderId="7" xfId="0" applyFont="1" applyFill="1" applyBorder="1"/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right"/>
    </xf>
    <xf numFmtId="0" fontId="4" fillId="3" borderId="1" xfId="0" applyFont="1" applyFill="1" applyBorder="1"/>
    <xf numFmtId="0" fontId="4" fillId="3" borderId="0" xfId="0" applyFont="1" applyFill="1"/>
    <xf numFmtId="0" fontId="4" fillId="3" borderId="3" xfId="0" applyFont="1" applyFill="1" applyBorder="1" applyAlignment="1">
      <alignment horizontal="right"/>
    </xf>
    <xf numFmtId="0" fontId="1" fillId="3" borderId="1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right"/>
    </xf>
    <xf numFmtId="44" fontId="4" fillId="3" borderId="15" xfId="0" applyNumberFormat="1" applyFont="1" applyFill="1" applyBorder="1" applyAlignment="1">
      <alignment horizontal="center" vertical="center" wrapText="1"/>
    </xf>
    <xf numFmtId="44" fontId="4" fillId="0" borderId="0" xfId="0" applyNumberFormat="1" applyFont="1"/>
    <xf numFmtId="3" fontId="4" fillId="0" borderId="0" xfId="0" applyNumberFormat="1" applyFont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/>
    <xf numFmtId="0" fontId="8" fillId="0" borderId="0" xfId="0" applyFont="1"/>
    <xf numFmtId="0" fontId="9" fillId="0" borderId="0" xfId="0" applyFont="1"/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11" fillId="0" borderId="0" xfId="1" applyFont="1"/>
    <xf numFmtId="0" fontId="11" fillId="0" borderId="0" xfId="1" applyFont="1" applyAlignment="1">
      <alignment horizontal="left"/>
    </xf>
    <xf numFmtId="0" fontId="12" fillId="0" borderId="0" xfId="1" applyFont="1"/>
    <xf numFmtId="164" fontId="2" fillId="2" borderId="24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4" fontId="4" fillId="0" borderId="26" xfId="0" applyNumberFormat="1" applyFont="1" applyBorder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3" borderId="30" xfId="0" applyFont="1" applyFill="1" applyBorder="1" applyAlignment="1">
      <alignment horizontal="right"/>
    </xf>
    <xf numFmtId="44" fontId="4" fillId="0" borderId="23" xfId="0" applyNumberFormat="1" applyFont="1" applyBorder="1"/>
    <xf numFmtId="44" fontId="4" fillId="0" borderId="29" xfId="0" applyNumberFormat="1" applyFont="1" applyBorder="1"/>
    <xf numFmtId="44" fontId="4" fillId="0" borderId="31" xfId="0" applyNumberFormat="1" applyFont="1" applyBorder="1"/>
    <xf numFmtId="0" fontId="4" fillId="0" borderId="22" xfId="0" applyFont="1" applyBorder="1" applyAlignment="1">
      <alignment horizontal="right"/>
    </xf>
    <xf numFmtId="0" fontId="4" fillId="0" borderId="28" xfId="0" applyFont="1" applyBorder="1" applyAlignment="1">
      <alignment horizontal="right"/>
    </xf>
    <xf numFmtId="164" fontId="4" fillId="0" borderId="32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</cellXfs>
  <cellStyles count="4">
    <cellStyle name="Comma 2" xfId="2" xr:uid="{00000000-0005-0000-0000-000000000000}"/>
    <cellStyle name="Normal" xfId="0" builtinId="0"/>
    <cellStyle name="Normal 2" xfId="3" xr:uid="{00000000-0005-0000-0000-000002000000}"/>
    <cellStyle name="Normal 3" xfId="1" xr:uid="{00000000-0005-0000-0000-000003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4" formatCode="0.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solid">
          <fgColor indexed="64"/>
          <bgColor rgb="FFC0C0C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34" formatCode="_(&quot;$&quot;* #,##0.00_);_(&quot;$&quot;* \(#,##0.00\);_(&quot;$&quot;* &quot;-&quot;??_);_(@_)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137491</xdr:colOff>
      <xdr:row>0</xdr:row>
      <xdr:rowOff>238125</xdr:rowOff>
    </xdr:from>
    <xdr:to>
      <xdr:col>5</xdr:col>
      <xdr:colOff>472351</xdr:colOff>
      <xdr:row>10</xdr:row>
      <xdr:rowOff>113649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137491</xdr:colOff>
      <xdr:row>0</xdr:row>
      <xdr:rowOff>238125</xdr:rowOff>
    </xdr:from>
    <xdr:to>
      <xdr:col>5</xdr:col>
      <xdr:colOff>472351</xdr:colOff>
      <xdr:row>10</xdr:row>
      <xdr:rowOff>113649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137491</xdr:colOff>
      <xdr:row>0</xdr:row>
      <xdr:rowOff>238125</xdr:rowOff>
    </xdr:from>
    <xdr:to>
      <xdr:col>5</xdr:col>
      <xdr:colOff>472351</xdr:colOff>
      <xdr:row>10</xdr:row>
      <xdr:rowOff>113649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24" displayName="Table24" ref="A13:F56" totalsRowShown="0" headerRowDxfId="22" dataDxfId="21">
  <tableColumns count="6">
    <tableColumn id="1" xr3:uid="{00000000-0010-0000-0000-000001000000}" name="ITEM NUMBER" dataDxfId="20"/>
    <tableColumn id="2" xr3:uid="{00000000-0010-0000-0000-000002000000}" name="ITEM" dataDxfId="19"/>
    <tableColumn id="3" xr3:uid="{00000000-0010-0000-0000-000003000000}" name="UNIT" dataDxfId="18"/>
    <tableColumn id="4" xr3:uid="{00000000-0010-0000-0000-000004000000}" name="QTY" dataDxfId="17"/>
    <tableColumn id="5" xr3:uid="{00000000-0010-0000-0000-000005000000}" name="UNIT PRICE" dataDxfId="16"/>
    <tableColumn id="6" xr3:uid="{00000000-0010-0000-0000-000006000000}" name="TOTAL COST" dataDxfId="15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Division1" displayName="Division1" ref="A13:F55" totalsRowShown="0" headerRowDxfId="14" dataDxfId="13">
  <autoFilter ref="A13:F55" xr:uid="{00000000-0009-0000-0100-000005000000}"/>
  <tableColumns count="6">
    <tableColumn id="1" xr3:uid="{00000000-0010-0000-0100-000001000000}" name="ITEM NUMBER" dataDxfId="12"/>
    <tableColumn id="2" xr3:uid="{00000000-0010-0000-0100-000002000000}" name="ITEM" dataDxfId="11"/>
    <tableColumn id="3" xr3:uid="{00000000-0010-0000-0100-000003000000}" name="UNIT" dataDxfId="10"/>
    <tableColumn id="4" xr3:uid="{00000000-0010-0000-0100-000004000000}" name="QTY" dataDxfId="9"/>
    <tableColumn id="21" xr3:uid="{00000000-0010-0000-0100-000015000000}" name="UNIT PRICE" dataDxfId="8"/>
    <tableColumn id="22" xr3:uid="{00000000-0010-0000-0100-000016000000}" name="TOTAL COST" dataDxfId="7">
      <calculatedColumnFormula>Division1[[#This Row],[UNIT PRICE]]*Division1[[#This Row],[QTY]]</calculatedColumnFormula>
    </tableColumn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Division2" displayName="Division2" ref="A13:F47" totalsRowShown="0" headerRowDxfId="6">
  <autoFilter ref="A13:F47" xr:uid="{00000000-0009-0000-0100-000007000000}"/>
  <tableColumns count="6">
    <tableColumn id="1" xr3:uid="{00000000-0010-0000-0200-000001000000}" name="ITEM NUMBER" dataDxfId="5"/>
    <tableColumn id="2" xr3:uid="{00000000-0010-0000-0200-000002000000}" name="ITEM" dataDxfId="4"/>
    <tableColumn id="3" xr3:uid="{00000000-0010-0000-0200-000003000000}" name="UNIT" dataDxfId="3"/>
    <tableColumn id="4" xr3:uid="{00000000-0010-0000-0200-000004000000}" name="QTY" dataDxfId="2"/>
    <tableColumn id="5" xr3:uid="{00000000-0010-0000-0200-000005000000}" name="Unit Price" dataDxfId="1"/>
    <tableColumn id="6" xr3:uid="{00000000-0010-0000-0200-000006000000}" name="Total Cost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showGridLines="0" tabSelected="1" topLeftCell="A39" workbookViewId="0">
      <selection activeCell="H12" sqref="H12"/>
    </sheetView>
  </sheetViews>
  <sheetFormatPr defaultRowHeight="15" x14ac:dyDescent="0.25"/>
  <cols>
    <col min="1" max="1" width="8" style="5" customWidth="1"/>
    <col min="2" max="2" width="46" style="5" customWidth="1"/>
    <col min="3" max="3" width="6.85546875" style="5" customWidth="1"/>
    <col min="4" max="4" width="7.140625" style="5" customWidth="1"/>
    <col min="5" max="5" width="23" style="5" customWidth="1"/>
    <col min="6" max="6" width="14.28515625" style="5" customWidth="1"/>
  </cols>
  <sheetData>
    <row r="1" spans="1:6" ht="22.5" customHeight="1" x14ac:dyDescent="0.25">
      <c r="A1" s="44"/>
    </row>
    <row r="2" spans="1:6" ht="11.25" customHeight="1" x14ac:dyDescent="0.25">
      <c r="B2" s="45"/>
    </row>
    <row r="4" spans="1:6" ht="48" customHeight="1" x14ac:dyDescent="0.25">
      <c r="A4" s="72" t="s">
        <v>0</v>
      </c>
      <c r="B4" s="72"/>
      <c r="C4" s="72"/>
      <c r="D4" s="46"/>
      <c r="E4" s="46"/>
      <c r="F4" s="46"/>
    </row>
    <row r="5" spans="1:6" ht="15.75" customHeight="1" x14ac:dyDescent="0.25">
      <c r="A5" s="49" t="s">
        <v>1</v>
      </c>
      <c r="B5" s="49" t="s">
        <v>2</v>
      </c>
      <c r="C5" s="47"/>
      <c r="D5" s="48"/>
    </row>
    <row r="6" spans="1:6" ht="15.75" customHeight="1" x14ac:dyDescent="0.25">
      <c r="A6" s="49"/>
      <c r="B6" s="49"/>
      <c r="C6" s="47"/>
      <c r="D6" s="48"/>
    </row>
    <row r="7" spans="1:6" ht="15.75" customHeight="1" x14ac:dyDescent="0.25">
      <c r="A7" s="49" t="s">
        <v>3</v>
      </c>
      <c r="B7" s="50" t="s">
        <v>4</v>
      </c>
      <c r="C7" s="47"/>
      <c r="D7" s="48"/>
    </row>
    <row r="8" spans="1:6" ht="15.75" customHeight="1" x14ac:dyDescent="0.25">
      <c r="A8" s="49"/>
      <c r="B8" s="50" t="s">
        <v>5</v>
      </c>
      <c r="C8" s="47"/>
      <c r="D8" s="48"/>
    </row>
    <row r="9" spans="1:6" ht="15.75" customHeight="1" x14ac:dyDescent="0.25">
      <c r="A9" s="49"/>
      <c r="B9" s="50" t="s">
        <v>6</v>
      </c>
      <c r="C9" s="47"/>
      <c r="D9" s="48"/>
    </row>
    <row r="10" spans="1:6" ht="15.75" customHeight="1" x14ac:dyDescent="0.25">
      <c r="A10" s="49"/>
      <c r="B10" s="50" t="s">
        <v>7</v>
      </c>
      <c r="C10" s="47"/>
      <c r="D10" s="48"/>
    </row>
    <row r="11" spans="1:6" ht="15.75" customHeight="1" x14ac:dyDescent="0.25">
      <c r="A11" s="49"/>
      <c r="B11" s="50"/>
      <c r="C11" s="47"/>
      <c r="D11" s="48"/>
    </row>
    <row r="12" spans="1:6" ht="15.75" customHeight="1" thickBot="1" x14ac:dyDescent="0.3">
      <c r="A12" s="51" t="s">
        <v>8</v>
      </c>
      <c r="B12" s="49"/>
      <c r="C12" s="47"/>
      <c r="D12" s="48"/>
    </row>
    <row r="13" spans="1:6" ht="27" customHeight="1" thickBot="1" x14ac:dyDescent="0.3">
      <c r="A13" s="52" t="s">
        <v>9</v>
      </c>
      <c r="B13" s="53" t="s">
        <v>10</v>
      </c>
      <c r="C13" s="54" t="s">
        <v>11</v>
      </c>
      <c r="D13" s="54" t="s">
        <v>12</v>
      </c>
      <c r="E13" s="55" t="s">
        <v>13</v>
      </c>
      <c r="F13" s="56" t="s">
        <v>14</v>
      </c>
    </row>
    <row r="14" spans="1:6" ht="15" customHeight="1" x14ac:dyDescent="0.25">
      <c r="A14" s="33">
        <v>1</v>
      </c>
      <c r="B14" s="34" t="s">
        <v>15</v>
      </c>
      <c r="C14" s="35" t="s">
        <v>16</v>
      </c>
      <c r="D14" s="10">
        <f>SUMIFS('CTH H-STH 28'!$D$14:$D$500,'CTH H-STH 28'!$B$14:$B$500,$B14,'CTH H-STH 28'!$C$14:$C$500,$C14)+SUMIFS('STH 28-W Moraine'!$D$14:$D$500,'STH 28-W Moraine'!$B$14:$B$500,$B14,'STH 28-W Moraine'!$C$14:$C$500,$C14)</f>
        <v>1</v>
      </c>
      <c r="E14" s="11"/>
      <c r="F14" s="57">
        <f t="shared" ref="F14:F56" si="0">D14*E14</f>
        <v>0</v>
      </c>
    </row>
    <row r="15" spans="1:6" ht="15" customHeight="1" x14ac:dyDescent="0.25">
      <c r="A15" s="36">
        <f t="shared" ref="A15:A56" si="1">A14+1</f>
        <v>2</v>
      </c>
      <c r="B15" s="37" t="s">
        <v>17</v>
      </c>
      <c r="C15" s="38" t="s">
        <v>16</v>
      </c>
      <c r="D15" s="10">
        <f>SUMIFS('CTH H-STH 28'!$D$14:$D$500,'CTH H-STH 28'!$B$14:$B$500,$B15,'CTH H-STH 28'!$C$14:$C$500,$C15)+SUMIFS('STH 28-W Moraine'!$D$14:$D$500,'STH 28-W Moraine'!$B$14:$B$500,$B15,'STH 28-W Moraine'!$C$14:$C$500,$C15)</f>
        <v>1</v>
      </c>
      <c r="E15" s="11"/>
      <c r="F15" s="57">
        <f t="shared" si="0"/>
        <v>0</v>
      </c>
    </row>
    <row r="16" spans="1:6" ht="15" customHeight="1" x14ac:dyDescent="0.25">
      <c r="A16" s="36">
        <f t="shared" si="1"/>
        <v>3</v>
      </c>
      <c r="B16" s="37" t="s">
        <v>18</v>
      </c>
      <c r="C16" s="38" t="s">
        <v>19</v>
      </c>
      <c r="D16" s="10">
        <f>SUMIFS('CTH H-STH 28'!$D$14:$D$500,'CTH H-STH 28'!$B$14:$B$500,$B16,'CTH H-STH 28'!$C$14:$C$500,$C16)+SUMIFS('STH 28-W Moraine'!$D$14:$D$500,'STH 28-W Moraine'!$B$14:$B$500,$B16,'STH 28-W Moraine'!$C$14:$C$500,$C16)</f>
        <v>6060</v>
      </c>
      <c r="E16" s="11"/>
      <c r="F16" s="57">
        <f t="shared" si="0"/>
        <v>0</v>
      </c>
    </row>
    <row r="17" spans="1:6" ht="15" customHeight="1" x14ac:dyDescent="0.25">
      <c r="A17" s="36">
        <f t="shared" si="1"/>
        <v>4</v>
      </c>
      <c r="B17" s="37" t="s">
        <v>20</v>
      </c>
      <c r="C17" s="38" t="s">
        <v>19</v>
      </c>
      <c r="D17" s="10">
        <f>SUMIFS('CTH H-STH 28'!$D$14:$D$500,'CTH H-STH 28'!$B$14:$B$500,$B17,'CTH H-STH 28'!$C$14:$C$500,$C17)+SUMIFS('STH 28-W Moraine'!$D$14:$D$500,'STH 28-W Moraine'!$B$14:$B$500,$B17,'STH 28-W Moraine'!$C$14:$C$500,$C17)</f>
        <v>232</v>
      </c>
      <c r="E17" s="11"/>
      <c r="F17" s="57">
        <f t="shared" si="0"/>
        <v>0</v>
      </c>
    </row>
    <row r="18" spans="1:6" ht="15" customHeight="1" x14ac:dyDescent="0.25">
      <c r="A18" s="36">
        <f t="shared" si="1"/>
        <v>5</v>
      </c>
      <c r="B18" s="37" t="s">
        <v>21</v>
      </c>
      <c r="C18" s="39" t="s">
        <v>22</v>
      </c>
      <c r="D18" s="10">
        <f>SUMIFS('CTH H-STH 28'!$D$14:$D$500,'CTH H-STH 28'!$B$14:$B$500,$B18,'CTH H-STH 28'!$C$14:$C$500,$C18)+SUMIFS('STH 28-W Moraine'!$D$14:$D$500,'STH 28-W Moraine'!$B$14:$B$500,$B18,'STH 28-W Moraine'!$C$14:$C$500,$C18)</f>
        <v>21310</v>
      </c>
      <c r="E18" s="11"/>
      <c r="F18" s="57">
        <f t="shared" si="0"/>
        <v>0</v>
      </c>
    </row>
    <row r="19" spans="1:6" ht="15" customHeight="1" x14ac:dyDescent="0.25">
      <c r="A19" s="36">
        <f t="shared" si="1"/>
        <v>6</v>
      </c>
      <c r="B19" s="40" t="s">
        <v>23</v>
      </c>
      <c r="C19" s="41" t="s">
        <v>22</v>
      </c>
      <c r="D19" s="10">
        <f>SUMIFS('CTH H-STH 28'!$D$14:$D$500,'CTH H-STH 28'!$B$14:$B$500,$B19,'CTH H-STH 28'!$C$14:$C$500,$C19)+SUMIFS('STH 28-W Moraine'!$D$14:$D$500,'STH 28-W Moraine'!$B$14:$B$500,$B19,'STH 28-W Moraine'!$C$14:$C$500,$C19)</f>
        <v>65</v>
      </c>
      <c r="E19" s="11"/>
      <c r="F19" s="57">
        <f t="shared" si="0"/>
        <v>0</v>
      </c>
    </row>
    <row r="20" spans="1:6" ht="15" customHeight="1" x14ac:dyDescent="0.25">
      <c r="A20" s="36">
        <f t="shared" si="1"/>
        <v>7</v>
      </c>
      <c r="B20" s="37" t="s">
        <v>24</v>
      </c>
      <c r="C20" s="38" t="s">
        <v>25</v>
      </c>
      <c r="D20" s="10">
        <f>SUMIFS('CTH H-STH 28'!$D$14:$D$500,'CTH H-STH 28'!$B$14:$B$500,$B20,'CTH H-STH 28'!$C$14:$C$500,$C20)+SUMIFS('STH 28-W Moraine'!$D$14:$D$500,'STH 28-W Moraine'!$B$14:$B$500,$B20,'STH 28-W Moraine'!$C$14:$C$500,$C20)</f>
        <v>3</v>
      </c>
      <c r="E20" s="11"/>
      <c r="F20" s="57">
        <f t="shared" si="0"/>
        <v>0</v>
      </c>
    </row>
    <row r="21" spans="1:6" ht="15" customHeight="1" x14ac:dyDescent="0.25">
      <c r="A21" s="36">
        <f t="shared" si="1"/>
        <v>8</v>
      </c>
      <c r="B21" s="37" t="s">
        <v>26</v>
      </c>
      <c r="C21" s="38" t="s">
        <v>25</v>
      </c>
      <c r="D21" s="10">
        <f>SUMIFS('CTH H-STH 28'!$D$14:$D$500,'CTH H-STH 28'!$B$14:$B$500,$B21,'CTH H-STH 28'!$C$14:$C$500,$C21)+SUMIFS('STH 28-W Moraine'!$D$14:$D$500,'STH 28-W Moraine'!$B$14:$B$500,$B21,'STH 28-W Moraine'!$C$14:$C$500,$C21)</f>
        <v>18</v>
      </c>
      <c r="E21" s="11"/>
      <c r="F21" s="57">
        <f t="shared" si="0"/>
        <v>0</v>
      </c>
    </row>
    <row r="22" spans="1:6" ht="15" customHeight="1" x14ac:dyDescent="0.25">
      <c r="A22" s="36">
        <f t="shared" si="1"/>
        <v>9</v>
      </c>
      <c r="B22" s="40" t="s">
        <v>27</v>
      </c>
      <c r="C22" s="41" t="s">
        <v>19</v>
      </c>
      <c r="D22" s="10">
        <f>SUMIFS('CTH H-STH 28'!$D$14:$D$500,'CTH H-STH 28'!$B$14:$B$500,$B22,'CTH H-STH 28'!$C$14:$C$500,$C22)+SUMIFS('STH 28-W Moraine'!$D$14:$D$500,'STH 28-W Moraine'!$B$14:$B$500,$B22,'STH 28-W Moraine'!$C$14:$C$500,$C22)</f>
        <v>132</v>
      </c>
      <c r="E22" s="11"/>
      <c r="F22" s="57">
        <f t="shared" si="0"/>
        <v>0</v>
      </c>
    </row>
    <row r="23" spans="1:6" ht="15" customHeight="1" x14ac:dyDescent="0.25">
      <c r="A23" s="36">
        <f t="shared" si="1"/>
        <v>10</v>
      </c>
      <c r="B23" s="40" t="s">
        <v>28</v>
      </c>
      <c r="C23" s="41" t="s">
        <v>19</v>
      </c>
      <c r="D23" s="10">
        <f>SUMIFS('CTH H-STH 28'!$D$14:$D$500,'CTH H-STH 28'!$B$14:$B$500,$B23,'CTH H-STH 28'!$C$14:$C$500,$C23)+SUMIFS('STH 28-W Moraine'!$D$14:$D$500,'STH 28-W Moraine'!$B$14:$B$500,$B23,'STH 28-W Moraine'!$C$14:$C$500,$C23)</f>
        <v>25</v>
      </c>
      <c r="E23" s="11"/>
      <c r="F23" s="57">
        <f t="shared" si="0"/>
        <v>0</v>
      </c>
    </row>
    <row r="24" spans="1:6" ht="15" customHeight="1" x14ac:dyDescent="0.25">
      <c r="A24" s="36">
        <f t="shared" si="1"/>
        <v>11</v>
      </c>
      <c r="B24" s="40" t="s">
        <v>29</v>
      </c>
      <c r="C24" s="41" t="s">
        <v>19</v>
      </c>
      <c r="D24" s="10">
        <f>SUMIFS('CTH H-STH 28'!$D$14:$D$500,'CTH H-STH 28'!$B$14:$B$500,$B24,'CTH H-STH 28'!$C$14:$C$500,$C24)+SUMIFS('STH 28-W Moraine'!$D$14:$D$500,'STH 28-W Moraine'!$B$14:$B$500,$B24,'STH 28-W Moraine'!$C$14:$C$500,$C24)</f>
        <v>129</v>
      </c>
      <c r="E24" s="11"/>
      <c r="F24" s="57">
        <f t="shared" si="0"/>
        <v>0</v>
      </c>
    </row>
    <row r="25" spans="1:6" ht="15" customHeight="1" x14ac:dyDescent="0.25">
      <c r="A25" s="36">
        <f t="shared" si="1"/>
        <v>12</v>
      </c>
      <c r="B25" s="40" t="s">
        <v>30</v>
      </c>
      <c r="C25" s="41" t="s">
        <v>19</v>
      </c>
      <c r="D25" s="10">
        <f>SUMIFS('CTH H-STH 28'!$D$14:$D$500,'CTH H-STH 28'!$B$14:$B$500,$B25,'CTH H-STH 28'!$C$14:$C$500,$C25)+SUMIFS('STH 28-W Moraine'!$D$14:$D$500,'STH 28-W Moraine'!$B$14:$B$500,$B25,'STH 28-W Moraine'!$C$14:$C$500,$C25)</f>
        <v>94</v>
      </c>
      <c r="E25" s="11"/>
      <c r="F25" s="57">
        <f t="shared" si="0"/>
        <v>0</v>
      </c>
    </row>
    <row r="26" spans="1:6" ht="15" customHeight="1" x14ac:dyDescent="0.25">
      <c r="A26" s="36">
        <f t="shared" si="1"/>
        <v>13</v>
      </c>
      <c r="B26" s="37" t="s">
        <v>31</v>
      </c>
      <c r="C26" s="38" t="s">
        <v>19</v>
      </c>
      <c r="D26" s="10">
        <f>SUMIFS('CTH H-STH 28'!$D$14:$D$500,'CTH H-STH 28'!$B$14:$B$500,$B26,'CTH H-STH 28'!$C$14:$C$500,$C26)+SUMIFS('STH 28-W Moraine'!$D$14:$D$500,'STH 28-W Moraine'!$B$14:$B$500,$B26,'STH 28-W Moraine'!$C$14:$C$500,$C26)</f>
        <v>43</v>
      </c>
      <c r="E26" s="11"/>
      <c r="F26" s="57">
        <f t="shared" si="0"/>
        <v>0</v>
      </c>
    </row>
    <row r="27" spans="1:6" ht="15" customHeight="1" x14ac:dyDescent="0.25">
      <c r="A27" s="36">
        <f t="shared" si="1"/>
        <v>14</v>
      </c>
      <c r="B27" s="37" t="s">
        <v>32</v>
      </c>
      <c r="C27" s="38" t="s">
        <v>33</v>
      </c>
      <c r="D27" s="10">
        <f>SUMIFS('CTH H-STH 28'!$D$14:$D$500,'CTH H-STH 28'!$B$14:$B$500,$B27,'CTH H-STH 28'!$C$14:$C$500,$C27)+SUMIFS('STH 28-W Moraine'!$D$14:$D$500,'STH 28-W Moraine'!$B$14:$B$500,$B27,'STH 28-W Moraine'!$C$14:$C$500,$C27)</f>
        <v>13702.650000000001</v>
      </c>
      <c r="E27" s="11"/>
      <c r="F27" s="57">
        <f t="shared" si="0"/>
        <v>0</v>
      </c>
    </row>
    <row r="28" spans="1:6" ht="15" customHeight="1" x14ac:dyDescent="0.25">
      <c r="A28" s="36">
        <f t="shared" si="1"/>
        <v>15</v>
      </c>
      <c r="B28" s="37" t="s">
        <v>34</v>
      </c>
      <c r="C28" s="38" t="s">
        <v>33</v>
      </c>
      <c r="D28" s="10">
        <f>SUMIFS('CTH H-STH 28'!$D$14:$D$500,'CTH H-STH 28'!$B$14:$B$500,$B28,'CTH H-STH 28'!$C$14:$C$500,$C28)+SUMIFS('STH 28-W Moraine'!$D$14:$D$500,'STH 28-W Moraine'!$B$14:$B$500,$B28,'STH 28-W Moraine'!$C$14:$C$500,$C28)</f>
        <v>5499.41</v>
      </c>
      <c r="E28" s="11"/>
      <c r="F28" s="57">
        <f t="shared" si="0"/>
        <v>0</v>
      </c>
    </row>
    <row r="29" spans="1:6" ht="15" customHeight="1" x14ac:dyDescent="0.25">
      <c r="A29" s="36">
        <f t="shared" si="1"/>
        <v>16</v>
      </c>
      <c r="B29" s="40" t="s">
        <v>35</v>
      </c>
      <c r="C29" s="42" t="s">
        <v>33</v>
      </c>
      <c r="D29" s="10">
        <f>SUMIFS('CTH H-STH 28'!$D$14:$D$500,'CTH H-STH 28'!$B$14:$B$500,$B29,'CTH H-STH 28'!$C$14:$C$500,$C29)+SUMIFS('STH 28-W Moraine'!$D$14:$D$500,'STH 28-W Moraine'!$B$14:$B$500,$B29,'STH 28-W Moraine'!$C$14:$C$500,$C29)</f>
        <v>1370.2650000000001</v>
      </c>
      <c r="E29" s="11"/>
      <c r="F29" s="57">
        <f t="shared" si="0"/>
        <v>0</v>
      </c>
    </row>
    <row r="30" spans="1:6" ht="15" customHeight="1" x14ac:dyDescent="0.25">
      <c r="A30" s="36">
        <f t="shared" si="1"/>
        <v>17</v>
      </c>
      <c r="B30" s="40" t="s">
        <v>36</v>
      </c>
      <c r="C30" s="42" t="s">
        <v>33</v>
      </c>
      <c r="D30" s="10">
        <f>SUMIFS('CTH H-STH 28'!$D$14:$D$500,'CTH H-STH 28'!$B$14:$B$500,$B30,'CTH H-STH 28'!$C$14:$C$500,$C30)+SUMIFS('STH 28-W Moraine'!$D$14:$D$500,'STH 28-W Moraine'!$B$14:$B$500,$B30,'STH 28-W Moraine'!$C$14:$C$500,$C30)</f>
        <v>203.53975000000003</v>
      </c>
      <c r="E30" s="11"/>
      <c r="F30" s="57">
        <f t="shared" si="0"/>
        <v>0</v>
      </c>
    </row>
    <row r="31" spans="1:6" ht="15" customHeight="1" x14ac:dyDescent="0.25">
      <c r="A31" s="36">
        <f t="shared" si="1"/>
        <v>18</v>
      </c>
      <c r="B31" s="40" t="s">
        <v>37</v>
      </c>
      <c r="C31" s="41" t="s">
        <v>19</v>
      </c>
      <c r="D31" s="10">
        <f>SUMIFS('CTH H-STH 28'!$D$14:$D$500,'CTH H-STH 28'!$B$14:$B$500,$B31,'CTH H-STH 28'!$C$14:$C$500,$C31)+SUMIFS('STH 28-W Moraine'!$D$14:$D$500,'STH 28-W Moraine'!$B$14:$B$500,$B31,'STH 28-W Moraine'!$C$14:$C$500,$C31)</f>
        <v>40</v>
      </c>
      <c r="E31" s="11"/>
      <c r="F31" s="57">
        <f t="shared" si="0"/>
        <v>0</v>
      </c>
    </row>
    <row r="32" spans="1:6" ht="15" customHeight="1" x14ac:dyDescent="0.25">
      <c r="A32" s="36">
        <f>A37+1</f>
        <v>24</v>
      </c>
      <c r="B32" s="37" t="s">
        <v>38</v>
      </c>
      <c r="C32" s="39" t="s">
        <v>19</v>
      </c>
      <c r="D32" s="10">
        <f>SUMIFS('CTH H-STH 28'!$D$14:$D$500,'CTH H-STH 28'!$B$14:$B$500,$B32,'CTH H-STH 28'!$C$14:$C$500,$C32)+SUMIFS('STH 28-W Moraine'!$D$14:$D$500,'STH 28-W Moraine'!$B$14:$B$500,$B32,'STH 28-W Moraine'!$C$14:$C$500,$C32)</f>
        <v>50</v>
      </c>
      <c r="E32" s="11"/>
      <c r="F32" s="57">
        <f t="shared" si="0"/>
        <v>0</v>
      </c>
    </row>
    <row r="33" spans="1:6" ht="15" customHeight="1" x14ac:dyDescent="0.25">
      <c r="A33" s="36">
        <f>A31+1</f>
        <v>19</v>
      </c>
      <c r="B33" s="40" t="s">
        <v>39</v>
      </c>
      <c r="C33" s="42" t="s">
        <v>19</v>
      </c>
      <c r="D33" s="10">
        <f>SUMIFS('CTH H-STH 28'!$D$14:$D$500,'CTH H-STH 28'!$B$14:$B$500,$B33,'CTH H-STH 28'!$C$14:$C$500,$C33)+SUMIFS('STH 28-W Moraine'!$D$14:$D$500,'STH 28-W Moraine'!$B$14:$B$500,$B33,'STH 28-W Moraine'!$C$14:$C$500,$C33)</f>
        <v>159</v>
      </c>
      <c r="E33" s="11"/>
      <c r="F33" s="57">
        <f t="shared" si="0"/>
        <v>0</v>
      </c>
    </row>
    <row r="34" spans="1:6" ht="15" customHeight="1" x14ac:dyDescent="0.25">
      <c r="A34" s="36">
        <f t="shared" si="1"/>
        <v>20</v>
      </c>
      <c r="B34" s="37" t="s">
        <v>40</v>
      </c>
      <c r="C34" s="39" t="s">
        <v>19</v>
      </c>
      <c r="D34" s="10">
        <f>SUMIFS('CTH H-STH 28'!$D$14:$D$500,'CTH H-STH 28'!$B$14:$B$500,$B34,'CTH H-STH 28'!$C$14:$C$500,$C34)+SUMIFS('STH 28-W Moraine'!$D$14:$D$500,'STH 28-W Moraine'!$B$14:$B$500,$B34,'STH 28-W Moraine'!$C$14:$C$500,$C34)</f>
        <v>251</v>
      </c>
      <c r="E34" s="11"/>
      <c r="F34" s="57">
        <f t="shared" si="0"/>
        <v>0</v>
      </c>
    </row>
    <row r="35" spans="1:6" ht="15" customHeight="1" x14ac:dyDescent="0.25">
      <c r="A35" s="36">
        <f t="shared" si="1"/>
        <v>21</v>
      </c>
      <c r="B35" s="37" t="s">
        <v>41</v>
      </c>
      <c r="C35" s="39" t="s">
        <v>19</v>
      </c>
      <c r="D35" s="10">
        <f>SUMIFS('CTH H-STH 28'!$D$14:$D$500,'CTH H-STH 28'!$B$14:$B$500,$B35,'CTH H-STH 28'!$C$14:$C$500,$C35)+SUMIFS('STH 28-W Moraine'!$D$14:$D$500,'STH 28-W Moraine'!$B$14:$B$500,$B35,'STH 28-W Moraine'!$C$14:$C$500,$C35)</f>
        <v>221</v>
      </c>
      <c r="E35" s="11"/>
      <c r="F35" s="57">
        <f t="shared" si="0"/>
        <v>0</v>
      </c>
    </row>
    <row r="36" spans="1:6" ht="15" customHeight="1" x14ac:dyDescent="0.25">
      <c r="A36" s="36">
        <f t="shared" si="1"/>
        <v>22</v>
      </c>
      <c r="B36" s="40" t="s">
        <v>42</v>
      </c>
      <c r="C36" s="41" t="s">
        <v>19</v>
      </c>
      <c r="D36" s="10">
        <f>SUMIFS('CTH H-STH 28'!$D$14:$D$500,'CTH H-STH 28'!$B$14:$B$500,$B36,'CTH H-STH 28'!$C$14:$C$500,$C36)+SUMIFS('STH 28-W Moraine'!$D$14:$D$500,'STH 28-W Moraine'!$B$14:$B$500,$B36,'STH 28-W Moraine'!$C$14:$C$500,$C36)</f>
        <v>166</v>
      </c>
      <c r="E36" s="11"/>
      <c r="F36" s="57">
        <f t="shared" si="0"/>
        <v>0</v>
      </c>
    </row>
    <row r="37" spans="1:6" ht="15" customHeight="1" x14ac:dyDescent="0.25">
      <c r="A37" s="36">
        <f t="shared" si="1"/>
        <v>23</v>
      </c>
      <c r="B37" s="43" t="s">
        <v>43</v>
      </c>
      <c r="C37" s="41" t="s">
        <v>19</v>
      </c>
      <c r="D37" s="10">
        <f>SUMIFS('CTH H-STH 28'!$D$14:$D$500,'CTH H-STH 28'!$B$14:$B$500,$B37,'CTH H-STH 28'!$C$14:$C$500,$C37)+SUMIFS('STH 28-W Moraine'!$D$14:$D$500,'STH 28-W Moraine'!$B$14:$B$500,$B37,'STH 28-W Moraine'!$C$14:$C$500,$C37)</f>
        <v>55</v>
      </c>
      <c r="E37" s="11"/>
      <c r="F37" s="57">
        <f t="shared" si="0"/>
        <v>0</v>
      </c>
    </row>
    <row r="38" spans="1:6" ht="15" customHeight="1" x14ac:dyDescent="0.25">
      <c r="A38" s="36">
        <f>A32+1</f>
        <v>25</v>
      </c>
      <c r="B38" s="37" t="s">
        <v>44</v>
      </c>
      <c r="C38" s="38" t="s">
        <v>25</v>
      </c>
      <c r="D38" s="10">
        <f>SUMIFS('CTH H-STH 28'!$D$14:$D$500,'CTH H-STH 28'!$B$14:$B$500,$B38,'CTH H-STH 28'!$C$14:$C$500,$C38)+SUMIFS('STH 28-W Moraine'!$D$14:$D$500,'STH 28-W Moraine'!$B$14:$B$500,$B38,'STH 28-W Moraine'!$C$14:$C$500,$C38)</f>
        <v>14</v>
      </c>
      <c r="E38" s="11"/>
      <c r="F38" s="57">
        <f t="shared" si="0"/>
        <v>0</v>
      </c>
    </row>
    <row r="39" spans="1:6" ht="15" customHeight="1" x14ac:dyDescent="0.25">
      <c r="A39" s="36">
        <f t="shared" si="1"/>
        <v>26</v>
      </c>
      <c r="B39" s="37" t="s">
        <v>45</v>
      </c>
      <c r="C39" s="38" t="s">
        <v>25</v>
      </c>
      <c r="D39" s="15">
        <f>SUMIFS('CTH H-STH 28'!$D$14:$D$500,'CTH H-STH 28'!$B$14:$B$500,$B39,'CTH H-STH 28'!$C$14:$C$500,$C39)+SUMIFS('STH 28-W Moraine'!$D$14:$D$500,'STH 28-W Moraine'!$B$14:$B$500,$B39,'STH 28-W Moraine'!$C$14:$C$500,$C39)</f>
        <v>12</v>
      </c>
      <c r="E39" s="11"/>
      <c r="F39" s="57">
        <f t="shared" si="0"/>
        <v>0</v>
      </c>
    </row>
    <row r="40" spans="1:6" ht="15" customHeight="1" x14ac:dyDescent="0.25">
      <c r="A40" s="36">
        <f t="shared" si="1"/>
        <v>27</v>
      </c>
      <c r="B40" s="40" t="s">
        <v>46</v>
      </c>
      <c r="C40" s="42" t="s">
        <v>25</v>
      </c>
      <c r="D40" s="17">
        <f>SUMIFS('CTH H-STH 28'!$D$14:$D$500,'CTH H-STH 28'!$B$14:$B$500,$B40,'CTH H-STH 28'!$C$14:$C$500,$C40)+SUMIFS('STH 28-W Moraine'!$D$14:$D$500,'STH 28-W Moraine'!$B$14:$B$500,$B40,'STH 28-W Moraine'!$C$14:$C$500,$C40)</f>
        <v>10</v>
      </c>
      <c r="E40" s="11"/>
      <c r="F40" s="57">
        <f t="shared" si="0"/>
        <v>0</v>
      </c>
    </row>
    <row r="41" spans="1:6" ht="15" customHeight="1" x14ac:dyDescent="0.25">
      <c r="A41" s="36">
        <f t="shared" si="1"/>
        <v>28</v>
      </c>
      <c r="B41" s="40" t="s">
        <v>47</v>
      </c>
      <c r="C41" s="42" t="s">
        <v>25</v>
      </c>
      <c r="D41" s="17">
        <f>SUMIFS('CTH H-STH 28'!$D$14:$D$500,'CTH H-STH 28'!$B$14:$B$500,$B41,'CTH H-STH 28'!$C$14:$C$500,$C41)+SUMIFS('STH 28-W Moraine'!$D$14:$D$500,'STH 28-W Moraine'!$B$14:$B$500,$B41,'STH 28-W Moraine'!$C$14:$C$500,$C41)</f>
        <v>8</v>
      </c>
      <c r="E41" s="11"/>
      <c r="F41" s="57">
        <f t="shared" si="0"/>
        <v>0</v>
      </c>
    </row>
    <row r="42" spans="1:6" ht="15" customHeight="1" x14ac:dyDescent="0.25">
      <c r="A42" s="36">
        <f t="shared" si="1"/>
        <v>29</v>
      </c>
      <c r="B42" s="37" t="s">
        <v>48</v>
      </c>
      <c r="C42" s="39" t="s">
        <v>25</v>
      </c>
      <c r="D42" s="17">
        <f>SUMIFS('CTH H-STH 28'!$D$14:$D$500,'CTH H-STH 28'!$B$14:$B$500,$B42,'CTH H-STH 28'!$C$14:$C$500,$C42)+SUMIFS('STH 28-W Moraine'!$D$14:$D$500,'STH 28-W Moraine'!$B$14:$B$500,$B42,'STH 28-W Moraine'!$C$14:$C$500,$C42)</f>
        <v>2</v>
      </c>
      <c r="E42" s="11"/>
      <c r="F42" s="57">
        <f t="shared" si="0"/>
        <v>0</v>
      </c>
    </row>
    <row r="43" spans="1:6" ht="15" customHeight="1" x14ac:dyDescent="0.25">
      <c r="A43" s="36">
        <f t="shared" si="1"/>
        <v>30</v>
      </c>
      <c r="B43" s="37" t="s">
        <v>49</v>
      </c>
      <c r="C43" s="39" t="s">
        <v>19</v>
      </c>
      <c r="D43" s="17">
        <f>SUMIFS('CTH H-STH 28'!$D$14:$D$500,'CTH H-STH 28'!$B$14:$B$500,$B43,'CTH H-STH 28'!$C$14:$C$500,$C43)+SUMIFS('STH 28-W Moraine'!$D$14:$D$500,'STH 28-W Moraine'!$B$14:$B$500,$B43,'STH 28-W Moraine'!$C$14:$C$500,$C43)</f>
        <v>2250</v>
      </c>
      <c r="E43" s="11"/>
      <c r="F43" s="57">
        <f t="shared" si="0"/>
        <v>0</v>
      </c>
    </row>
    <row r="44" spans="1:6" ht="15" customHeight="1" x14ac:dyDescent="0.25">
      <c r="A44" s="36">
        <f t="shared" si="1"/>
        <v>31</v>
      </c>
      <c r="B44" s="37" t="s">
        <v>50</v>
      </c>
      <c r="C44" s="39" t="s">
        <v>25</v>
      </c>
      <c r="D44" s="17">
        <f>SUMIFS('CTH H-STH 28'!$D$14:$D$500,'CTH H-STH 28'!$B$14:$B$500,$B44,'CTH H-STH 28'!$C$14:$C$500,$C44)+SUMIFS('STH 28-W Moraine'!$D$14:$D$500,'STH 28-W Moraine'!$B$14:$B$500,$B44,'STH 28-W Moraine'!$C$14:$C$500,$C44)</f>
        <v>8</v>
      </c>
      <c r="E44" s="11"/>
      <c r="F44" s="57">
        <f t="shared" si="0"/>
        <v>0</v>
      </c>
    </row>
    <row r="45" spans="1:6" ht="15" customHeight="1" x14ac:dyDescent="0.25">
      <c r="A45" s="36">
        <f t="shared" si="1"/>
        <v>32</v>
      </c>
      <c r="B45" s="37" t="s">
        <v>51</v>
      </c>
      <c r="C45" s="38" t="s">
        <v>22</v>
      </c>
      <c r="D45" s="17">
        <f>SUMIFS('CTH H-STH 28'!$D$14:$D$500,'CTH H-STH 28'!$B$14:$B$500,$B45,'CTH H-STH 28'!$C$14:$C$500,$C45)+SUMIFS('STH 28-W Moraine'!$D$14:$D$500,'STH 28-W Moraine'!$B$14:$B$500,$B45,'STH 28-W Moraine'!$C$14:$C$500,$C45)</f>
        <v>21</v>
      </c>
      <c r="E45" s="11"/>
      <c r="F45" s="57">
        <f t="shared" si="0"/>
        <v>0</v>
      </c>
    </row>
    <row r="46" spans="1:6" ht="15" customHeight="1" x14ac:dyDescent="0.25">
      <c r="A46" s="36">
        <f t="shared" si="1"/>
        <v>33</v>
      </c>
      <c r="B46" s="37" t="s">
        <v>52</v>
      </c>
      <c r="C46" s="38" t="s">
        <v>53</v>
      </c>
      <c r="D46" s="17">
        <f>SUMIFS('CTH H-STH 28'!$D$14:$D$500,'CTH H-STH 28'!$B$14:$B$500,$B46,'CTH H-STH 28'!$C$14:$C$500,$C46)+SUMIFS('STH 28-W Moraine'!$D$14:$D$500,'STH 28-W Moraine'!$B$14:$B$500,$B46,'STH 28-W Moraine'!$C$14:$C$500,$C46)</f>
        <v>13110.1728</v>
      </c>
      <c r="E46" s="11"/>
      <c r="F46" s="57">
        <f t="shared" si="0"/>
        <v>0</v>
      </c>
    </row>
    <row r="47" spans="1:6" ht="15" customHeight="1" x14ac:dyDescent="0.25">
      <c r="A47" s="36">
        <f t="shared" si="1"/>
        <v>34</v>
      </c>
      <c r="B47" s="37" t="s">
        <v>54</v>
      </c>
      <c r="C47" s="38" t="s">
        <v>22</v>
      </c>
      <c r="D47" s="17">
        <f>SUMIFS('CTH H-STH 28'!$D$14:$D$500,'CTH H-STH 28'!$B$14:$B$500,$B47,'CTH H-STH 28'!$C$14:$C$500,$C47)+SUMIFS('STH 28-W Moraine'!$D$14:$D$500,'STH 28-W Moraine'!$B$14:$B$500,$B47,'STH 28-W Moraine'!$C$14:$C$500,$C47)</f>
        <v>26169.559999999998</v>
      </c>
      <c r="E47" s="11"/>
      <c r="F47" s="57">
        <f t="shared" si="0"/>
        <v>0</v>
      </c>
    </row>
    <row r="48" spans="1:6" ht="15" customHeight="1" x14ac:dyDescent="0.25">
      <c r="A48" s="36">
        <f t="shared" si="1"/>
        <v>35</v>
      </c>
      <c r="B48" s="37" t="s">
        <v>55</v>
      </c>
      <c r="C48" s="38" t="s">
        <v>53</v>
      </c>
      <c r="D48" s="17">
        <f>SUMIFS('CTH H-STH 28'!$D$14:$D$500,'CTH H-STH 28'!$B$14:$B$500,$B48,'CTH H-STH 28'!$C$14:$C$500,$C48)+SUMIFS('STH 28-W Moraine'!$D$14:$D$500,'STH 28-W Moraine'!$B$14:$B$500,$B48,'STH 28-W Moraine'!$C$14:$C$500,$C48)</f>
        <v>3460.6553100000001</v>
      </c>
      <c r="E48" s="11"/>
      <c r="F48" s="57">
        <f t="shared" si="0"/>
        <v>0</v>
      </c>
    </row>
    <row r="49" spans="1:6" ht="15" customHeight="1" x14ac:dyDescent="0.25">
      <c r="A49" s="36">
        <f t="shared" si="1"/>
        <v>36</v>
      </c>
      <c r="B49" s="37" t="s">
        <v>56</v>
      </c>
      <c r="C49" s="38" t="s">
        <v>22</v>
      </c>
      <c r="D49" s="17">
        <f>SUMIFS('CTH H-STH 28'!$D$14:$D$500,'CTH H-STH 28'!$B$14:$B$500,$B49,'CTH H-STH 28'!$C$14:$C$500,$C49)+SUMIFS('STH 28-W Moraine'!$D$14:$D$500,'STH 28-W Moraine'!$B$14:$B$500,$B49,'STH 28-W Moraine'!$C$14:$C$500,$C49)</f>
        <v>26169.559999999998</v>
      </c>
      <c r="E49" s="11"/>
      <c r="F49" s="57">
        <f t="shared" si="0"/>
        <v>0</v>
      </c>
    </row>
    <row r="50" spans="1:6" ht="15" customHeight="1" x14ac:dyDescent="0.25">
      <c r="A50" s="36">
        <f t="shared" si="1"/>
        <v>37</v>
      </c>
      <c r="B50" s="37" t="s">
        <v>57</v>
      </c>
      <c r="C50" s="38" t="s">
        <v>53</v>
      </c>
      <c r="D50" s="17">
        <f>SUMIFS('CTH H-STH 28'!$D$14:$D$500,'CTH H-STH 28'!$B$14:$B$500,$B50,'CTH H-STH 28'!$C$14:$C$500,$C50)+SUMIFS('STH 28-W Moraine'!$D$14:$D$500,'STH 28-W Moraine'!$B$14:$B$500,$B50,'STH 28-W Moraine'!$C$14:$C$500,$C50)</f>
        <v>2690.9541300000001</v>
      </c>
      <c r="E50" s="11"/>
      <c r="F50" s="57">
        <f t="shared" si="0"/>
        <v>0</v>
      </c>
    </row>
    <row r="51" spans="1:6" ht="15" customHeight="1" x14ac:dyDescent="0.25">
      <c r="A51" s="36">
        <f t="shared" si="1"/>
        <v>38</v>
      </c>
      <c r="B51" s="37" t="s">
        <v>58</v>
      </c>
      <c r="C51" s="38" t="s">
        <v>22</v>
      </c>
      <c r="D51" s="17">
        <f>SUMIFS('CTH H-STH 28'!$D$14:$D$500,'CTH H-STH 28'!$B$14:$B$500,$B51,'CTH H-STH 28'!$C$14:$C$500,$C51)+SUMIFS('STH 28-W Moraine'!$D$14:$D$500,'STH 28-W Moraine'!$B$14:$B$500,$B51,'STH 28-W Moraine'!$C$14:$C$500,$C51)</f>
        <v>360</v>
      </c>
      <c r="E51" s="11"/>
      <c r="F51" s="57">
        <f t="shared" si="0"/>
        <v>0</v>
      </c>
    </row>
    <row r="52" spans="1:6" ht="15" customHeight="1" x14ac:dyDescent="0.25">
      <c r="A52" s="36">
        <f t="shared" si="1"/>
        <v>39</v>
      </c>
      <c r="B52" s="37" t="s">
        <v>59</v>
      </c>
      <c r="C52" s="39" t="s">
        <v>22</v>
      </c>
      <c r="D52" s="17">
        <f>SUMIFS('CTH H-STH 28'!$D$14:$D$500,'CTH H-STH 28'!$B$14:$B$500,$B52,'CTH H-STH 28'!$C$14:$C$500,$C52)+SUMIFS('STH 28-W Moraine'!$D$14:$D$500,'STH 28-W Moraine'!$B$14:$B$500,$B52,'STH 28-W Moraine'!$C$14:$C$500,$C52)</f>
        <v>1075</v>
      </c>
      <c r="E52" s="11"/>
      <c r="F52" s="57">
        <f t="shared" si="0"/>
        <v>0</v>
      </c>
    </row>
    <row r="53" spans="1:6" ht="15" customHeight="1" x14ac:dyDescent="0.25">
      <c r="A53" s="36">
        <f t="shared" si="1"/>
        <v>40</v>
      </c>
      <c r="B53" s="40" t="s">
        <v>60</v>
      </c>
      <c r="C53" s="41" t="s">
        <v>22</v>
      </c>
      <c r="D53" s="17">
        <f>SUMIFS('CTH H-STH 28'!$D$14:$D$500,'CTH H-STH 28'!$B$14:$B$500,$B53,'CTH H-STH 28'!$C$14:$C$500,$C53)+SUMIFS('STH 28-W Moraine'!$D$14:$D$500,'STH 28-W Moraine'!$B$14:$B$500,$B53,'STH 28-W Moraine'!$C$14:$C$500,$C53)</f>
        <v>130</v>
      </c>
      <c r="E53" s="11"/>
      <c r="F53" s="57">
        <f t="shared" si="0"/>
        <v>0</v>
      </c>
    </row>
    <row r="54" spans="1:6" ht="15" customHeight="1" x14ac:dyDescent="0.25">
      <c r="A54" s="36">
        <f t="shared" si="1"/>
        <v>41</v>
      </c>
      <c r="B54" s="37" t="s">
        <v>61</v>
      </c>
      <c r="C54" s="38" t="s">
        <v>22</v>
      </c>
      <c r="D54" s="17">
        <f>SUMIFS('CTH H-STH 28'!$D$14:$D$500,'CTH H-STH 28'!$B$14:$B$500,$B54,'CTH H-STH 28'!$C$14:$C$500,$C54)+SUMIFS('STH 28-W Moraine'!$D$14:$D$500,'STH 28-W Moraine'!$B$14:$B$500,$B54,'STH 28-W Moraine'!$C$14:$C$500,$C54)</f>
        <v>20609.989999999998</v>
      </c>
      <c r="E54" s="11"/>
      <c r="F54" s="57">
        <f t="shared" si="0"/>
        <v>0</v>
      </c>
    </row>
    <row r="55" spans="1:6" ht="15" customHeight="1" x14ac:dyDescent="0.25">
      <c r="A55" s="36">
        <f t="shared" si="1"/>
        <v>42</v>
      </c>
      <c r="B55" s="37" t="s">
        <v>62</v>
      </c>
      <c r="C55" s="38" t="s">
        <v>22</v>
      </c>
      <c r="D55" s="18">
        <f>SUMIFS('CTH H-STH 28'!$D$14:$D$500,'CTH H-STH 28'!$B$14:$B$500,$B55,'CTH H-STH 28'!$C$14:$C$500,$C55)+SUMIFS('STH 28-W Moraine'!$D$14:$D$500,'STH 28-W Moraine'!$B$14:$B$500,$B55,'STH 28-W Moraine'!$C$14:$C$500,$C55)</f>
        <v>20609.989999999998</v>
      </c>
      <c r="E55" s="11"/>
      <c r="F55" s="57">
        <f t="shared" si="0"/>
        <v>0</v>
      </c>
    </row>
    <row r="56" spans="1:6" ht="15" customHeight="1" thickBot="1" x14ac:dyDescent="0.3">
      <c r="A56" s="69">
        <f t="shared" si="1"/>
        <v>43</v>
      </c>
      <c r="B56" s="70" t="s">
        <v>63</v>
      </c>
      <c r="C56" s="71" t="s">
        <v>22</v>
      </c>
      <c r="D56" s="18">
        <f>SUMIFS('CTH H-STH 28'!$D$14:$D$500,'CTH H-STH 28'!$B$14:$B$500,$B56,'CTH H-STH 28'!$C$14:$C$500,$C56)+SUMIFS('STH 28-W Moraine'!$D$14:$D$500,'STH 28-W Moraine'!$B$14:$B$500,$B56,'STH 28-W Moraine'!$C$14:$C$500,$C56)</f>
        <v>11490.18</v>
      </c>
      <c r="E56" s="11"/>
      <c r="F56" s="57">
        <f t="shared" si="0"/>
        <v>0</v>
      </c>
    </row>
    <row r="57" spans="1:6" ht="15" customHeight="1" x14ac:dyDescent="0.25">
      <c r="A57" s="24"/>
      <c r="B57" s="25"/>
      <c r="C57" s="25"/>
      <c r="D57" s="25"/>
      <c r="E57" s="63" t="s">
        <v>64</v>
      </c>
      <c r="F57" s="66">
        <f>SUM(F14:F56)</f>
        <v>0</v>
      </c>
    </row>
    <row r="58" spans="1:6" x14ac:dyDescent="0.25">
      <c r="A58" s="58"/>
      <c r="B58" s="12"/>
      <c r="C58" s="13"/>
      <c r="D58" s="9"/>
      <c r="E58" s="67" t="s">
        <v>65</v>
      </c>
      <c r="F58" s="64">
        <f>F57*15%</f>
        <v>0</v>
      </c>
    </row>
    <row r="59" spans="1:6" ht="15.75" thickBot="1" x14ac:dyDescent="0.3">
      <c r="A59" s="59"/>
      <c r="B59" s="60"/>
      <c r="C59" s="61"/>
      <c r="D59" s="62"/>
      <c r="E59" s="68" t="s">
        <v>66</v>
      </c>
      <c r="F59" s="65">
        <f>F57+F58</f>
        <v>0</v>
      </c>
    </row>
    <row r="60" spans="1:6" x14ac:dyDescent="0.25">
      <c r="A60" s="6"/>
      <c r="B60" s="7"/>
      <c r="C60" s="8"/>
      <c r="D60" s="9"/>
      <c r="F60" s="31"/>
    </row>
    <row r="61" spans="1:6" x14ac:dyDescent="0.25">
      <c r="A61" s="6"/>
      <c r="B61" s="7"/>
      <c r="C61" s="8"/>
      <c r="D61" s="9"/>
      <c r="F61" s="31"/>
    </row>
  </sheetData>
  <mergeCells count="1">
    <mergeCell ref="A4:C4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9"/>
  <sheetViews>
    <sheetView showGridLines="0" topLeftCell="A7" workbookViewId="0">
      <selection activeCell="B52" sqref="B52"/>
    </sheetView>
  </sheetViews>
  <sheetFormatPr defaultRowHeight="15" x14ac:dyDescent="0.25"/>
  <cols>
    <col min="1" max="1" width="8" style="5" customWidth="1"/>
    <col min="2" max="2" width="46" style="5" customWidth="1"/>
    <col min="3" max="3" width="6.85546875" style="5" customWidth="1"/>
    <col min="4" max="4" width="7.140625" style="5" customWidth="1"/>
    <col min="5" max="5" width="23" style="5" customWidth="1"/>
    <col min="6" max="6" width="14.28515625" style="5" customWidth="1"/>
  </cols>
  <sheetData>
    <row r="1" spans="1:6" ht="22.5" customHeight="1" x14ac:dyDescent="0.25">
      <c r="A1" s="44"/>
    </row>
    <row r="2" spans="1:6" ht="11.25" customHeight="1" x14ac:dyDescent="0.25">
      <c r="B2" s="45"/>
    </row>
    <row r="4" spans="1:6" ht="48" customHeight="1" x14ac:dyDescent="0.25">
      <c r="A4" s="72" t="s">
        <v>0</v>
      </c>
      <c r="B4" s="72"/>
      <c r="C4" s="72"/>
      <c r="D4" s="46"/>
      <c r="E4" s="46"/>
      <c r="F4" s="46"/>
    </row>
    <row r="5" spans="1:6" ht="15.75" customHeight="1" x14ac:dyDescent="0.25">
      <c r="A5" s="49" t="s">
        <v>1</v>
      </c>
      <c r="B5" s="49" t="s">
        <v>2</v>
      </c>
      <c r="C5" s="47"/>
      <c r="D5" s="48"/>
    </row>
    <row r="6" spans="1:6" ht="15.75" customHeight="1" x14ac:dyDescent="0.25">
      <c r="A6" s="49"/>
      <c r="B6" s="49"/>
      <c r="C6" s="47"/>
      <c r="D6" s="48"/>
    </row>
    <row r="7" spans="1:6" ht="15.75" customHeight="1" x14ac:dyDescent="0.25">
      <c r="A7" s="49" t="s">
        <v>3</v>
      </c>
      <c r="B7" s="50" t="s">
        <v>4</v>
      </c>
      <c r="C7" s="47"/>
      <c r="D7" s="48"/>
    </row>
    <row r="8" spans="1:6" ht="15.75" customHeight="1" x14ac:dyDescent="0.25">
      <c r="A8" s="49"/>
      <c r="B8" s="50" t="s">
        <v>5</v>
      </c>
      <c r="C8" s="47"/>
      <c r="D8" s="48"/>
    </row>
    <row r="9" spans="1:6" ht="15.75" customHeight="1" x14ac:dyDescent="0.25">
      <c r="A9" s="49"/>
      <c r="B9" s="50" t="s">
        <v>6</v>
      </c>
      <c r="C9" s="47"/>
      <c r="D9" s="48"/>
    </row>
    <row r="10" spans="1:6" ht="15.75" customHeight="1" x14ac:dyDescent="0.25">
      <c r="A10" s="49"/>
      <c r="B10" s="50" t="s">
        <v>7</v>
      </c>
      <c r="C10" s="47"/>
      <c r="D10" s="48"/>
    </row>
    <row r="11" spans="1:6" ht="15.75" customHeight="1" x14ac:dyDescent="0.25">
      <c r="A11" s="49"/>
      <c r="B11" s="50"/>
      <c r="C11" s="47"/>
      <c r="D11" s="48"/>
    </row>
    <row r="12" spans="1:6" ht="15.75" customHeight="1" x14ac:dyDescent="0.25">
      <c r="A12" s="51" t="s">
        <v>67</v>
      </c>
      <c r="B12" s="49"/>
      <c r="C12" s="47"/>
      <c r="D12" s="48"/>
    </row>
    <row r="13" spans="1:6" ht="27" customHeight="1" x14ac:dyDescent="0.25">
      <c r="A13" s="1" t="s">
        <v>9</v>
      </c>
      <c r="B13" s="2" t="s">
        <v>10</v>
      </c>
      <c r="C13" s="3" t="s">
        <v>11</v>
      </c>
      <c r="D13" s="4" t="s">
        <v>12</v>
      </c>
      <c r="E13" s="4" t="s">
        <v>13</v>
      </c>
      <c r="F13" s="4" t="s">
        <v>14</v>
      </c>
    </row>
    <row r="14" spans="1:6" x14ac:dyDescent="0.25">
      <c r="A14" s="6">
        <v>1</v>
      </c>
      <c r="B14" s="7" t="s">
        <v>15</v>
      </c>
      <c r="C14" s="8" t="s">
        <v>16</v>
      </c>
      <c r="D14" s="10">
        <v>0.5</v>
      </c>
      <c r="E14" s="9"/>
      <c r="F14" s="31">
        <f>Division1[[#This Row],[UNIT PRICE]]*Division1[[#This Row],[QTY]]</f>
        <v>0</v>
      </c>
    </row>
    <row r="15" spans="1:6" x14ac:dyDescent="0.25">
      <c r="A15" s="6">
        <f t="shared" ref="A15:A52" si="0">A14+1</f>
        <v>2</v>
      </c>
      <c r="B15" s="7" t="s">
        <v>17</v>
      </c>
      <c r="C15" s="8" t="s">
        <v>16</v>
      </c>
      <c r="D15" s="10">
        <v>0.5</v>
      </c>
      <c r="E15" s="9"/>
      <c r="F15" s="31">
        <f>Division1[[#This Row],[UNIT PRICE]]*Division1[[#This Row],[QTY]]</f>
        <v>0</v>
      </c>
    </row>
    <row r="16" spans="1:6" x14ac:dyDescent="0.25">
      <c r="A16" s="6">
        <f t="shared" si="0"/>
        <v>3</v>
      </c>
      <c r="B16" s="7" t="s">
        <v>18</v>
      </c>
      <c r="C16" s="8" t="s">
        <v>19</v>
      </c>
      <c r="D16" s="10">
        <v>4190</v>
      </c>
      <c r="E16" s="9"/>
      <c r="F16" s="31">
        <f>Division1[[#This Row],[UNIT PRICE]]*Division1[[#This Row],[QTY]]</f>
        <v>0</v>
      </c>
    </row>
    <row r="17" spans="1:6" x14ac:dyDescent="0.25">
      <c r="A17" s="6">
        <f t="shared" si="0"/>
        <v>4</v>
      </c>
      <c r="B17" s="7" t="s">
        <v>20</v>
      </c>
      <c r="C17" s="8" t="s">
        <v>19</v>
      </c>
      <c r="D17" s="10">
        <v>195</v>
      </c>
      <c r="E17" s="9"/>
      <c r="F17" s="31">
        <f>Division1[[#This Row],[UNIT PRICE]]*Division1[[#This Row],[QTY]]</f>
        <v>0</v>
      </c>
    </row>
    <row r="18" spans="1:6" x14ac:dyDescent="0.25">
      <c r="A18" s="6">
        <f t="shared" si="0"/>
        <v>5</v>
      </c>
      <c r="B18" s="7" t="s">
        <v>21</v>
      </c>
      <c r="C18" s="9" t="s">
        <v>22</v>
      </c>
      <c r="D18" s="10">
        <f>1623+37+1821+54+77+1799+1789+35+50+59+1805+1794+1776+32-1</f>
        <v>12750</v>
      </c>
      <c r="E18" s="9"/>
      <c r="F18" s="31">
        <f>Division1[[#This Row],[UNIT PRICE]]*Division1[[#This Row],[QTY]]</f>
        <v>0</v>
      </c>
    </row>
    <row r="19" spans="1:6" x14ac:dyDescent="0.25">
      <c r="A19" s="6">
        <f t="shared" si="0"/>
        <v>6</v>
      </c>
      <c r="B19" s="7" t="s">
        <v>23</v>
      </c>
      <c r="C19" s="9" t="s">
        <v>22</v>
      </c>
      <c r="D19" s="18">
        <v>65</v>
      </c>
      <c r="E19" s="9"/>
      <c r="F19" s="31">
        <f>Division1[[#This Row],[UNIT PRICE]]*Division1[[#This Row],[QTY]]</f>
        <v>0</v>
      </c>
    </row>
    <row r="20" spans="1:6" x14ac:dyDescent="0.25">
      <c r="A20" s="6">
        <f t="shared" si="0"/>
        <v>7</v>
      </c>
      <c r="B20" s="7" t="s">
        <v>26</v>
      </c>
      <c r="C20" s="8" t="s">
        <v>25</v>
      </c>
      <c r="D20" s="10">
        <v>7</v>
      </c>
      <c r="E20" s="9"/>
      <c r="F20" s="31">
        <f>Division1[[#This Row],[UNIT PRICE]]*Division1[[#This Row],[QTY]]</f>
        <v>0</v>
      </c>
    </row>
    <row r="21" spans="1:6" ht="15" customHeight="1" x14ac:dyDescent="0.25">
      <c r="A21" s="6">
        <f t="shared" si="0"/>
        <v>8</v>
      </c>
      <c r="B21" s="7" t="s">
        <v>27</v>
      </c>
      <c r="C21" s="9" t="s">
        <v>19</v>
      </c>
      <c r="D21" s="10">
        <f>24+30+22+26+30</f>
        <v>132</v>
      </c>
      <c r="E21" s="9"/>
      <c r="F21" s="31">
        <f>Division1[[#This Row],[UNIT PRICE]]*Division1[[#This Row],[QTY]]</f>
        <v>0</v>
      </c>
    </row>
    <row r="22" spans="1:6" x14ac:dyDescent="0.25">
      <c r="A22" s="6">
        <f t="shared" si="0"/>
        <v>9</v>
      </c>
      <c r="B22" s="7" t="s">
        <v>28</v>
      </c>
      <c r="C22" s="9" t="s">
        <v>19</v>
      </c>
      <c r="D22" s="10">
        <f>25</f>
        <v>25</v>
      </c>
      <c r="E22" s="9"/>
      <c r="F22" s="31">
        <f>Division1[[#This Row],[UNIT PRICE]]*Division1[[#This Row],[QTY]]</f>
        <v>0</v>
      </c>
    </row>
    <row r="23" spans="1:6" x14ac:dyDescent="0.25">
      <c r="A23" s="6">
        <f t="shared" si="0"/>
        <v>10</v>
      </c>
      <c r="B23" s="7" t="s">
        <v>29</v>
      </c>
      <c r="C23" s="9" t="s">
        <v>19</v>
      </c>
      <c r="D23" s="10">
        <f>29+36+24+40</f>
        <v>129</v>
      </c>
      <c r="E23" s="9"/>
      <c r="F23" s="31">
        <f>Division1[[#This Row],[UNIT PRICE]]*Division1[[#This Row],[QTY]]</f>
        <v>0</v>
      </c>
    </row>
    <row r="24" spans="1:6" ht="15" customHeight="1" x14ac:dyDescent="0.25">
      <c r="A24" s="6">
        <f t="shared" si="0"/>
        <v>11</v>
      </c>
      <c r="B24" s="7" t="s">
        <v>30</v>
      </c>
      <c r="C24" s="9" t="s">
        <v>19</v>
      </c>
      <c r="D24" s="10">
        <f>55+39</f>
        <v>94</v>
      </c>
      <c r="E24" s="9"/>
      <c r="F24" s="31">
        <f>Division1[[#This Row],[UNIT PRICE]]*Division1[[#This Row],[QTY]]</f>
        <v>0</v>
      </c>
    </row>
    <row r="25" spans="1:6" x14ac:dyDescent="0.25">
      <c r="A25" s="6">
        <f t="shared" si="0"/>
        <v>12</v>
      </c>
      <c r="B25" s="7" t="s">
        <v>32</v>
      </c>
      <c r="C25" s="8" t="s">
        <v>33</v>
      </c>
      <c r="D25" s="10">
        <f>1825.86+6222.6+2</f>
        <v>8050.46</v>
      </c>
      <c r="E25" s="9"/>
      <c r="F25" s="31">
        <f>Division1[[#This Row],[UNIT PRICE]]*Division1[[#This Row],[QTY]]</f>
        <v>0</v>
      </c>
    </row>
    <row r="26" spans="1:6" x14ac:dyDescent="0.25">
      <c r="A26" s="6">
        <f t="shared" si="0"/>
        <v>13</v>
      </c>
      <c r="B26" s="7" t="s">
        <v>34</v>
      </c>
      <c r="C26" s="8" t="s">
        <v>33</v>
      </c>
      <c r="D26" s="10">
        <f>1356.45+13.61</f>
        <v>1370.06</v>
      </c>
      <c r="E26" s="9"/>
      <c r="F26" s="31">
        <f>Division1[[#This Row],[UNIT PRICE]]*Division1[[#This Row],[QTY]]</f>
        <v>0</v>
      </c>
    </row>
    <row r="27" spans="1:6" x14ac:dyDescent="0.25">
      <c r="A27" s="6">
        <f t="shared" si="0"/>
        <v>14</v>
      </c>
      <c r="B27" s="7" t="s">
        <v>35</v>
      </c>
      <c r="C27" s="8" t="s">
        <v>33</v>
      </c>
      <c r="D27" s="10">
        <f>D25*0.1</f>
        <v>805.04600000000005</v>
      </c>
      <c r="E27" s="9"/>
      <c r="F27" s="31">
        <f>Division1[[#This Row],[UNIT PRICE]]*Division1[[#This Row],[QTY]]</f>
        <v>0</v>
      </c>
    </row>
    <row r="28" spans="1:6" x14ac:dyDescent="0.25">
      <c r="A28" s="6">
        <f t="shared" si="0"/>
        <v>15</v>
      </c>
      <c r="B28" s="7" t="s">
        <v>36</v>
      </c>
      <c r="C28" s="8" t="s">
        <v>33</v>
      </c>
      <c r="D28" s="10">
        <f>D27*0.15-1</f>
        <v>119.7569</v>
      </c>
      <c r="E28" s="9"/>
      <c r="F28" s="31">
        <f>Division1[[#This Row],[UNIT PRICE]]*Division1[[#This Row],[QTY]]</f>
        <v>0</v>
      </c>
    </row>
    <row r="29" spans="1:6" x14ac:dyDescent="0.25">
      <c r="A29" s="6">
        <f t="shared" si="0"/>
        <v>16</v>
      </c>
      <c r="B29" s="7" t="s">
        <v>37</v>
      </c>
      <c r="C29" s="9" t="s">
        <v>19</v>
      </c>
      <c r="D29" s="10">
        <v>40</v>
      </c>
      <c r="E29" s="9"/>
      <c r="F29" s="31">
        <f>Division1[[#This Row],[UNIT PRICE]]*Division1[[#This Row],[QTY]]</f>
        <v>0</v>
      </c>
    </row>
    <row r="30" spans="1:6" x14ac:dyDescent="0.25">
      <c r="A30" s="6">
        <f t="shared" si="0"/>
        <v>17</v>
      </c>
      <c r="B30" s="7" t="s">
        <v>39</v>
      </c>
      <c r="C30" s="8" t="s">
        <v>19</v>
      </c>
      <c r="D30" s="10">
        <v>159</v>
      </c>
      <c r="E30" s="9"/>
      <c r="F30" s="31">
        <f>Division1[[#This Row],[UNIT PRICE]]*Division1[[#This Row],[QTY]]</f>
        <v>0</v>
      </c>
    </row>
    <row r="31" spans="1:6" x14ac:dyDescent="0.25">
      <c r="A31" s="6">
        <f t="shared" si="0"/>
        <v>18</v>
      </c>
      <c r="B31" s="5" t="s">
        <v>40</v>
      </c>
      <c r="C31" s="9" t="s">
        <v>19</v>
      </c>
      <c r="D31" s="10">
        <v>127</v>
      </c>
      <c r="E31" s="9"/>
      <c r="F31" s="31">
        <f>Division1[[#This Row],[UNIT PRICE]]*Division1[[#This Row],[QTY]]</f>
        <v>0</v>
      </c>
    </row>
    <row r="32" spans="1:6" x14ac:dyDescent="0.25">
      <c r="A32" s="6">
        <f t="shared" si="0"/>
        <v>19</v>
      </c>
      <c r="B32" s="5" t="s">
        <v>41</v>
      </c>
      <c r="C32" s="9" t="s">
        <v>19</v>
      </c>
      <c r="D32" s="10">
        <v>87</v>
      </c>
      <c r="E32" s="9"/>
      <c r="F32" s="31">
        <f>Division1[[#This Row],[UNIT PRICE]]*Division1[[#This Row],[QTY]]</f>
        <v>0</v>
      </c>
    </row>
    <row r="33" spans="1:6" x14ac:dyDescent="0.25">
      <c r="A33" s="6">
        <f t="shared" si="0"/>
        <v>20</v>
      </c>
      <c r="B33" s="7" t="s">
        <v>42</v>
      </c>
      <c r="C33" s="9" t="s">
        <v>19</v>
      </c>
      <c r="D33" s="10">
        <v>166</v>
      </c>
      <c r="E33" s="9"/>
      <c r="F33" s="31">
        <f>Division1[[#This Row],[UNIT PRICE]]*Division1[[#This Row],[QTY]]</f>
        <v>0</v>
      </c>
    </row>
    <row r="34" spans="1:6" x14ac:dyDescent="0.25">
      <c r="A34" s="6">
        <f t="shared" si="0"/>
        <v>21</v>
      </c>
      <c r="B34" s="5" t="s">
        <v>43</v>
      </c>
      <c r="C34" s="9" t="s">
        <v>19</v>
      </c>
      <c r="D34" s="10">
        <v>55</v>
      </c>
      <c r="E34" s="9"/>
      <c r="F34" s="31">
        <f>Division1[[#This Row],[UNIT PRICE]]*Division1[[#This Row],[QTY]]</f>
        <v>0</v>
      </c>
    </row>
    <row r="35" spans="1:6" x14ac:dyDescent="0.25">
      <c r="A35" s="6">
        <f t="shared" si="0"/>
        <v>22</v>
      </c>
      <c r="B35" s="7" t="s">
        <v>44</v>
      </c>
      <c r="C35" s="8" t="s">
        <v>25</v>
      </c>
      <c r="D35" s="18">
        <v>8</v>
      </c>
      <c r="E35" s="9"/>
      <c r="F35" s="31">
        <f>Division1[[#This Row],[UNIT PRICE]]*Division1[[#This Row],[QTY]]</f>
        <v>0</v>
      </c>
    </row>
    <row r="36" spans="1:6" x14ac:dyDescent="0.25">
      <c r="A36" s="6">
        <f t="shared" si="0"/>
        <v>23</v>
      </c>
      <c r="B36" s="7" t="s">
        <v>45</v>
      </c>
      <c r="C36" s="8" t="s">
        <v>25</v>
      </c>
      <c r="D36" s="18">
        <v>6</v>
      </c>
      <c r="E36" s="9"/>
      <c r="F36" s="31">
        <f>Division1[[#This Row],[UNIT PRICE]]*Division1[[#This Row],[QTY]]</f>
        <v>0</v>
      </c>
    </row>
    <row r="37" spans="1:6" x14ac:dyDescent="0.25">
      <c r="A37" s="6">
        <f t="shared" si="0"/>
        <v>24</v>
      </c>
      <c r="B37" s="7" t="s">
        <v>46</v>
      </c>
      <c r="C37" s="8" t="s">
        <v>25</v>
      </c>
      <c r="D37" s="15">
        <v>10</v>
      </c>
      <c r="E37" s="9"/>
      <c r="F37" s="31">
        <f>Division1[[#This Row],[UNIT PRICE]]*Division1[[#This Row],[QTY]]</f>
        <v>0</v>
      </c>
    </row>
    <row r="38" spans="1:6" ht="15" customHeight="1" x14ac:dyDescent="0.25">
      <c r="A38" s="6">
        <f t="shared" si="0"/>
        <v>25</v>
      </c>
      <c r="B38" s="7" t="s">
        <v>47</v>
      </c>
      <c r="C38" s="8" t="s">
        <v>25</v>
      </c>
      <c r="D38" s="10">
        <v>8</v>
      </c>
      <c r="E38" s="9"/>
      <c r="F38" s="31">
        <f>Division1[[#This Row],[UNIT PRICE]]*Division1[[#This Row],[QTY]]</f>
        <v>0</v>
      </c>
    </row>
    <row r="39" spans="1:6" x14ac:dyDescent="0.25">
      <c r="A39" s="6">
        <f t="shared" si="0"/>
        <v>26</v>
      </c>
      <c r="B39" s="7" t="s">
        <v>49</v>
      </c>
      <c r="C39" s="9" t="s">
        <v>19</v>
      </c>
      <c r="D39" s="18">
        <v>1050</v>
      </c>
      <c r="E39" s="9"/>
      <c r="F39" s="31">
        <f>Division1[[#This Row],[UNIT PRICE]]*Division1[[#This Row],[QTY]]</f>
        <v>0</v>
      </c>
    </row>
    <row r="40" spans="1:6" x14ac:dyDescent="0.25">
      <c r="A40" s="6">
        <f t="shared" si="0"/>
        <v>27</v>
      </c>
      <c r="B40" s="7" t="s">
        <v>50</v>
      </c>
      <c r="C40" s="9" t="s">
        <v>25</v>
      </c>
      <c r="D40" s="18">
        <v>2</v>
      </c>
      <c r="E40" s="9"/>
      <c r="F40" s="31">
        <f>Division1[[#This Row],[UNIT PRICE]]*Division1[[#This Row],[QTY]]</f>
        <v>0</v>
      </c>
    </row>
    <row r="41" spans="1:6" x14ac:dyDescent="0.25">
      <c r="A41" s="6">
        <f t="shared" si="0"/>
        <v>28</v>
      </c>
      <c r="B41" s="7" t="s">
        <v>51</v>
      </c>
      <c r="C41" s="8" t="s">
        <v>22</v>
      </c>
      <c r="D41" s="10">
        <v>5</v>
      </c>
      <c r="E41" s="9"/>
      <c r="F41" s="31">
        <f>Division1[[#This Row],[UNIT PRICE]]*Division1[[#This Row],[QTY]]</f>
        <v>0</v>
      </c>
    </row>
    <row r="42" spans="1:6" x14ac:dyDescent="0.25">
      <c r="A42" s="6">
        <f t="shared" si="0"/>
        <v>29</v>
      </c>
      <c r="B42" s="7" t="s">
        <v>52</v>
      </c>
      <c r="C42" s="8" t="s">
        <v>53</v>
      </c>
      <c r="D42" s="18">
        <f>(21.92*5219)/27*1.75*1.02+7</f>
        <v>7570.1428444444455</v>
      </c>
      <c r="E42" s="9"/>
      <c r="F42" s="31">
        <f>Division1[[#This Row],[UNIT PRICE]]*Division1[[#This Row],[QTY]]</f>
        <v>0</v>
      </c>
    </row>
    <row r="43" spans="1:6" x14ac:dyDescent="0.25">
      <c r="A43" s="6">
        <f t="shared" si="0"/>
        <v>30</v>
      </c>
      <c r="B43" s="7" t="s">
        <v>54</v>
      </c>
      <c r="C43" s="8" t="s">
        <v>22</v>
      </c>
      <c r="D43" s="18">
        <f>14856*1.01</f>
        <v>15004.56</v>
      </c>
      <c r="E43" s="9"/>
      <c r="F43" s="31">
        <f>Division1[[#This Row],[UNIT PRICE]]*Division1[[#This Row],[QTY]]</f>
        <v>0</v>
      </c>
    </row>
    <row r="44" spans="1:6" x14ac:dyDescent="0.25">
      <c r="A44" s="6">
        <f t="shared" si="0"/>
        <v>31</v>
      </c>
      <c r="B44" s="7" t="s">
        <v>55</v>
      </c>
      <c r="C44" s="8" t="s">
        <v>53</v>
      </c>
      <c r="D44" s="18">
        <f>14856*116*2.25/2000*1.02-2</f>
        <v>1975.48216</v>
      </c>
      <c r="E44" s="9"/>
      <c r="F44" s="31">
        <f>Division1[[#This Row],[UNIT PRICE]]*Division1[[#This Row],[QTY]]</f>
        <v>0</v>
      </c>
    </row>
    <row r="45" spans="1:6" x14ac:dyDescent="0.25">
      <c r="A45" s="6">
        <f>A46+1</f>
        <v>32</v>
      </c>
      <c r="B45" s="7" t="s">
        <v>56</v>
      </c>
      <c r="C45" s="8" t="s">
        <v>22</v>
      </c>
      <c r="D45" s="18">
        <f>D43</f>
        <v>15004.56</v>
      </c>
      <c r="E45" s="9"/>
      <c r="F45" s="31">
        <f>Division1[[#This Row],[UNIT PRICE]]*Division1[[#This Row],[QTY]]</f>
        <v>0</v>
      </c>
    </row>
    <row r="46" spans="1:6" x14ac:dyDescent="0.25">
      <c r="A46" s="6">
        <f>A43+1</f>
        <v>31</v>
      </c>
      <c r="B46" s="7" t="s">
        <v>57</v>
      </c>
      <c r="C46" s="8" t="s">
        <v>53</v>
      </c>
      <c r="D46" s="18">
        <f>14856*116*1.75/2000*1.02-2</f>
        <v>1536.04168</v>
      </c>
      <c r="E46" s="9"/>
      <c r="F46" s="31">
        <f>Division1[[#This Row],[UNIT PRICE]]*Division1[[#This Row],[QTY]]</f>
        <v>0</v>
      </c>
    </row>
    <row r="47" spans="1:6" x14ac:dyDescent="0.25">
      <c r="A47" s="6">
        <f>A44+1</f>
        <v>32</v>
      </c>
      <c r="B47" s="7" t="s">
        <v>58</v>
      </c>
      <c r="C47" s="8" t="s">
        <v>22</v>
      </c>
      <c r="D47" s="18">
        <v>250</v>
      </c>
      <c r="E47" s="9"/>
      <c r="F47" s="31">
        <f>Division1[[#This Row],[UNIT PRICE]]*Division1[[#This Row],[QTY]]</f>
        <v>0</v>
      </c>
    </row>
    <row r="48" spans="1:6" x14ac:dyDescent="0.25">
      <c r="A48" s="6">
        <f t="shared" si="0"/>
        <v>33</v>
      </c>
      <c r="B48" s="7" t="s">
        <v>59</v>
      </c>
      <c r="C48" s="9" t="s">
        <v>22</v>
      </c>
      <c r="D48" s="18">
        <v>300</v>
      </c>
      <c r="E48" s="9"/>
      <c r="F48" s="31">
        <f>Division1[[#This Row],[UNIT PRICE]]*Division1[[#This Row],[QTY]]</f>
        <v>0</v>
      </c>
    </row>
    <row r="49" spans="1:6" x14ac:dyDescent="0.25">
      <c r="A49" s="6">
        <f t="shared" si="0"/>
        <v>34</v>
      </c>
      <c r="B49" s="7" t="s">
        <v>60</v>
      </c>
      <c r="C49" s="9" t="s">
        <v>22</v>
      </c>
      <c r="D49" s="18">
        <v>130</v>
      </c>
      <c r="E49" s="9"/>
      <c r="F49" s="31">
        <f>Division1[[#This Row],[UNIT PRICE]]*Division1[[#This Row],[QTY]]</f>
        <v>0</v>
      </c>
    </row>
    <row r="50" spans="1:6" x14ac:dyDescent="0.25">
      <c r="A50" s="6">
        <f t="shared" si="0"/>
        <v>35</v>
      </c>
      <c r="B50" s="7" t="s">
        <v>61</v>
      </c>
      <c r="C50" s="8" t="s">
        <v>22</v>
      </c>
      <c r="D50" s="32">
        <f>D51</f>
        <v>11330.15</v>
      </c>
      <c r="E50" s="9"/>
      <c r="F50" s="31">
        <f>Division1[[#This Row],[UNIT PRICE]]*Division1[[#This Row],[QTY]]</f>
        <v>0</v>
      </c>
    </row>
    <row r="51" spans="1:6" x14ac:dyDescent="0.25">
      <c r="A51" s="6">
        <f t="shared" si="0"/>
        <v>36</v>
      </c>
      <c r="B51" s="7" t="s">
        <v>62</v>
      </c>
      <c r="C51" s="8" t="s">
        <v>22</v>
      </c>
      <c r="D51" s="18">
        <f>11215*1.01+3</f>
        <v>11330.15</v>
      </c>
      <c r="E51" s="9"/>
      <c r="F51" s="31">
        <f>Division1[[#This Row],[UNIT PRICE]]*Division1[[#This Row],[QTY]]</f>
        <v>0</v>
      </c>
    </row>
    <row r="52" spans="1:6" x14ac:dyDescent="0.25">
      <c r="A52" s="6">
        <f t="shared" si="0"/>
        <v>37</v>
      </c>
      <c r="B52" s="12" t="s">
        <v>63</v>
      </c>
      <c r="C52" s="13" t="s">
        <v>22</v>
      </c>
      <c r="D52" s="18">
        <f>4840*1.02+3</f>
        <v>4939.8</v>
      </c>
      <c r="E52" s="9"/>
      <c r="F52" s="31">
        <f>Division1[[#This Row],[UNIT PRICE]]*Division1[[#This Row],[QTY]]</f>
        <v>0</v>
      </c>
    </row>
    <row r="53" spans="1:6" x14ac:dyDescent="0.25">
      <c r="A53" s="27"/>
      <c r="B53" s="19"/>
      <c r="C53" s="28"/>
      <c r="D53" s="19"/>
      <c r="E53" s="29" t="s">
        <v>64</v>
      </c>
      <c r="F53" s="30">
        <f>SUM(F14:F38)</f>
        <v>0</v>
      </c>
    </row>
    <row r="54" spans="1:6" x14ac:dyDescent="0.25">
      <c r="A54" s="20"/>
      <c r="B54" s="21"/>
      <c r="C54" s="22"/>
      <c r="D54" s="21"/>
      <c r="E54" s="23" t="s">
        <v>65</v>
      </c>
      <c r="F54" s="16">
        <f>F53*0.15</f>
        <v>0</v>
      </c>
    </row>
    <row r="55" spans="1:6" x14ac:dyDescent="0.25">
      <c r="A55" s="24"/>
      <c r="B55" s="25"/>
      <c r="C55" s="25"/>
      <c r="D55" s="25"/>
      <c r="E55" s="26" t="s">
        <v>66</v>
      </c>
      <c r="F55" s="14">
        <f>F53+F54</f>
        <v>0</v>
      </c>
    </row>
    <row r="56" spans="1:6" x14ac:dyDescent="0.25">
      <c r="A56" s="6"/>
      <c r="B56" s="12"/>
      <c r="C56" s="13"/>
      <c r="D56" s="9"/>
      <c r="E56" s="9"/>
      <c r="F56" s="31"/>
    </row>
    <row r="57" spans="1:6" x14ac:dyDescent="0.25">
      <c r="A57" s="6"/>
      <c r="B57" s="7"/>
      <c r="C57" s="8"/>
      <c r="D57" s="9"/>
      <c r="E57" s="9"/>
      <c r="F57" s="31"/>
    </row>
    <row r="58" spans="1:6" x14ac:dyDescent="0.25">
      <c r="A58" s="6"/>
      <c r="B58" s="7"/>
      <c r="C58" s="8"/>
      <c r="D58" s="9"/>
      <c r="E58" s="9"/>
      <c r="F58" s="31"/>
    </row>
    <row r="59" spans="1:6" x14ac:dyDescent="0.25">
      <c r="A59" s="6"/>
      <c r="B59" s="7"/>
      <c r="C59" s="8"/>
      <c r="D59" s="9"/>
      <c r="E59" s="9"/>
      <c r="F59" s="31"/>
    </row>
  </sheetData>
  <mergeCells count="1">
    <mergeCell ref="A4:C4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9"/>
  <sheetViews>
    <sheetView showGridLines="0" workbookViewId="0">
      <selection activeCell="D16" sqref="D16"/>
    </sheetView>
  </sheetViews>
  <sheetFormatPr defaultRowHeight="15" x14ac:dyDescent="0.25"/>
  <cols>
    <col min="1" max="1" width="8" style="5" customWidth="1"/>
    <col min="2" max="2" width="46" style="5" customWidth="1"/>
    <col min="3" max="3" width="6.85546875" style="5" customWidth="1"/>
    <col min="4" max="4" width="7.140625" style="5" customWidth="1"/>
    <col min="5" max="5" width="23" style="5" customWidth="1"/>
    <col min="6" max="6" width="14.28515625" style="5" customWidth="1"/>
  </cols>
  <sheetData>
    <row r="1" spans="1:6" ht="22.5" customHeight="1" x14ac:dyDescent="0.25">
      <c r="A1" s="44"/>
    </row>
    <row r="2" spans="1:6" ht="11.25" customHeight="1" x14ac:dyDescent="0.25">
      <c r="B2" s="45"/>
    </row>
    <row r="4" spans="1:6" ht="48" customHeight="1" x14ac:dyDescent="0.25">
      <c r="A4" s="72" t="s">
        <v>0</v>
      </c>
      <c r="B4" s="72"/>
      <c r="C4" s="72"/>
      <c r="D4" s="46"/>
      <c r="E4" s="46"/>
      <c r="F4" s="46"/>
    </row>
    <row r="5" spans="1:6" ht="15.75" customHeight="1" x14ac:dyDescent="0.25">
      <c r="A5" s="49" t="s">
        <v>1</v>
      </c>
      <c r="B5" s="49" t="s">
        <v>2</v>
      </c>
      <c r="C5" s="47"/>
      <c r="D5" s="48"/>
    </row>
    <row r="6" spans="1:6" ht="15.75" customHeight="1" x14ac:dyDescent="0.25">
      <c r="A6" s="49"/>
      <c r="B6" s="49"/>
      <c r="C6" s="47"/>
      <c r="D6" s="48"/>
    </row>
    <row r="7" spans="1:6" ht="15.75" customHeight="1" x14ac:dyDescent="0.25">
      <c r="A7" s="49" t="s">
        <v>3</v>
      </c>
      <c r="B7" s="50" t="s">
        <v>4</v>
      </c>
      <c r="C7" s="47"/>
      <c r="D7" s="48"/>
    </row>
    <row r="8" spans="1:6" ht="15.75" customHeight="1" x14ac:dyDescent="0.25">
      <c r="A8" s="49"/>
      <c r="B8" s="50" t="s">
        <v>5</v>
      </c>
      <c r="C8" s="47"/>
      <c r="D8" s="48"/>
    </row>
    <row r="9" spans="1:6" ht="15.75" customHeight="1" x14ac:dyDescent="0.25">
      <c r="A9" s="49"/>
      <c r="B9" s="50" t="s">
        <v>6</v>
      </c>
      <c r="C9" s="47"/>
      <c r="D9" s="48"/>
    </row>
    <row r="10" spans="1:6" ht="15.75" customHeight="1" x14ac:dyDescent="0.25">
      <c r="A10" s="49"/>
      <c r="B10" s="50" t="s">
        <v>7</v>
      </c>
      <c r="C10" s="47"/>
      <c r="D10" s="48"/>
    </row>
    <row r="11" spans="1:6" ht="15.75" customHeight="1" x14ac:dyDescent="0.25">
      <c r="A11" s="49"/>
      <c r="B11" s="50"/>
      <c r="C11" s="47"/>
      <c r="D11" s="48"/>
    </row>
    <row r="12" spans="1:6" ht="15.75" customHeight="1" x14ac:dyDescent="0.25">
      <c r="A12" s="51" t="s">
        <v>68</v>
      </c>
      <c r="B12" s="49"/>
      <c r="C12" s="47"/>
      <c r="D12" s="48"/>
    </row>
    <row r="13" spans="1:6" ht="27" customHeight="1" x14ac:dyDescent="0.25">
      <c r="A13" s="1" t="s">
        <v>9</v>
      </c>
      <c r="B13" s="2" t="s">
        <v>10</v>
      </c>
      <c r="C13" s="3" t="s">
        <v>11</v>
      </c>
      <c r="D13" s="4" t="s">
        <v>12</v>
      </c>
      <c r="E13" s="4" t="s">
        <v>69</v>
      </c>
      <c r="F13" s="4" t="s">
        <v>64</v>
      </c>
    </row>
    <row r="14" spans="1:6" ht="15" customHeight="1" x14ac:dyDescent="0.25">
      <c r="A14" s="6">
        <v>1</v>
      </c>
      <c r="B14" s="7" t="s">
        <v>15</v>
      </c>
      <c r="C14" s="8" t="s">
        <v>16</v>
      </c>
      <c r="D14" s="10">
        <v>0.5</v>
      </c>
      <c r="E14" s="9"/>
      <c r="F14" s="31">
        <f>'STH 28-W Moraine'!$E14*'STH 28-W Moraine'!$D14</f>
        <v>0</v>
      </c>
    </row>
    <row r="15" spans="1:6" ht="15" customHeight="1" x14ac:dyDescent="0.25">
      <c r="A15" s="6">
        <f t="shared" ref="A15:A44" si="0">A14+1</f>
        <v>2</v>
      </c>
      <c r="B15" s="7" t="s">
        <v>17</v>
      </c>
      <c r="C15" s="8" t="s">
        <v>16</v>
      </c>
      <c r="D15" s="10">
        <v>0.5</v>
      </c>
      <c r="E15" s="9"/>
      <c r="F15" s="31">
        <f>'STH 28-W Moraine'!$E15*'STH 28-W Moraine'!$D15</f>
        <v>0</v>
      </c>
    </row>
    <row r="16" spans="1:6" ht="15" customHeight="1" x14ac:dyDescent="0.25">
      <c r="A16" s="6">
        <f t="shared" si="0"/>
        <v>3</v>
      </c>
      <c r="B16" s="7" t="s">
        <v>18</v>
      </c>
      <c r="C16" s="8" t="s">
        <v>19</v>
      </c>
      <c r="D16" s="10">
        <v>1870</v>
      </c>
      <c r="E16" s="9"/>
      <c r="F16" s="31">
        <f>'STH 28-W Moraine'!$E16*'STH 28-W Moraine'!$D16</f>
        <v>0</v>
      </c>
    </row>
    <row r="17" spans="1:6" ht="15" customHeight="1" x14ac:dyDescent="0.25">
      <c r="A17" s="6">
        <f t="shared" si="0"/>
        <v>4</v>
      </c>
      <c r="B17" s="7" t="s">
        <v>20</v>
      </c>
      <c r="C17" s="8" t="s">
        <v>19</v>
      </c>
      <c r="D17" s="10">
        <v>37</v>
      </c>
      <c r="E17" s="9"/>
      <c r="F17" s="31">
        <f>'STH 28-W Moraine'!$E17*'STH 28-W Moraine'!$D17</f>
        <v>0</v>
      </c>
    </row>
    <row r="18" spans="1:6" ht="15" customHeight="1" x14ac:dyDescent="0.25">
      <c r="A18" s="6">
        <f t="shared" si="0"/>
        <v>5</v>
      </c>
      <c r="B18" s="7" t="s">
        <v>21</v>
      </c>
      <c r="C18" s="9" t="s">
        <v>22</v>
      </c>
      <c r="D18" s="10">
        <f>43+1601+1765+1709+433+1684+49+49+1228-1</f>
        <v>8560</v>
      </c>
      <c r="E18" s="9"/>
      <c r="F18" s="31">
        <f>'STH 28-W Moraine'!$E18*'STH 28-W Moraine'!$D18</f>
        <v>0</v>
      </c>
    </row>
    <row r="19" spans="1:6" ht="15" customHeight="1" x14ac:dyDescent="0.25">
      <c r="A19" s="6">
        <f t="shared" si="0"/>
        <v>6</v>
      </c>
      <c r="B19" s="7" t="s">
        <v>24</v>
      </c>
      <c r="C19" s="9" t="s">
        <v>25</v>
      </c>
      <c r="D19" s="18">
        <v>3</v>
      </c>
      <c r="E19" s="9"/>
      <c r="F19" s="31">
        <f>'STH 28-W Moraine'!$E19*'STH 28-W Moraine'!$D19</f>
        <v>0</v>
      </c>
    </row>
    <row r="20" spans="1:6" ht="15" customHeight="1" x14ac:dyDescent="0.25">
      <c r="A20" s="6">
        <f t="shared" si="0"/>
        <v>7</v>
      </c>
      <c r="B20" s="7" t="s">
        <v>26</v>
      </c>
      <c r="C20" s="8" t="s">
        <v>25</v>
      </c>
      <c r="D20" s="10">
        <v>11</v>
      </c>
      <c r="E20" s="9"/>
      <c r="F20" s="31">
        <f>'STH 28-W Moraine'!$E20*'STH 28-W Moraine'!$D20</f>
        <v>0</v>
      </c>
    </row>
    <row r="21" spans="1:6" ht="15" customHeight="1" x14ac:dyDescent="0.25">
      <c r="A21" s="6">
        <f t="shared" si="0"/>
        <v>8</v>
      </c>
      <c r="B21" s="7" t="s">
        <v>31</v>
      </c>
      <c r="C21" s="9" t="s">
        <v>19</v>
      </c>
      <c r="D21" s="10">
        <v>43</v>
      </c>
      <c r="E21" s="9"/>
      <c r="F21" s="31">
        <f>'STH 28-W Moraine'!$E21*'STH 28-W Moraine'!$D21</f>
        <v>0</v>
      </c>
    </row>
    <row r="22" spans="1:6" ht="15" customHeight="1" x14ac:dyDescent="0.25">
      <c r="A22" s="6">
        <f t="shared" si="0"/>
        <v>9</v>
      </c>
      <c r="B22" s="7" t="s">
        <v>32</v>
      </c>
      <c r="C22" s="9" t="s">
        <v>33</v>
      </c>
      <c r="D22" s="10">
        <f>1372.19+4280</f>
        <v>5652.1900000000005</v>
      </c>
      <c r="E22" s="9"/>
      <c r="F22" s="31">
        <f>'STH 28-W Moraine'!$E22*'STH 28-W Moraine'!$D22</f>
        <v>0</v>
      </c>
    </row>
    <row r="23" spans="1:6" ht="15" customHeight="1" x14ac:dyDescent="0.25">
      <c r="A23" s="6">
        <f t="shared" si="0"/>
        <v>10</v>
      </c>
      <c r="B23" s="7" t="s">
        <v>34</v>
      </c>
      <c r="C23" s="9" t="s">
        <v>33</v>
      </c>
      <c r="D23" s="10">
        <f>2595.96+1533.39</f>
        <v>4129.3500000000004</v>
      </c>
      <c r="E23" s="9"/>
      <c r="F23" s="31">
        <f>'STH 28-W Moraine'!$E23*'STH 28-W Moraine'!$D23</f>
        <v>0</v>
      </c>
    </row>
    <row r="24" spans="1:6" x14ac:dyDescent="0.25">
      <c r="A24" s="6">
        <f t="shared" si="0"/>
        <v>11</v>
      </c>
      <c r="B24" s="7" t="s">
        <v>35</v>
      </c>
      <c r="C24" s="9" t="s">
        <v>33</v>
      </c>
      <c r="D24" s="10">
        <f>D22*0.1</f>
        <v>565.21900000000005</v>
      </c>
      <c r="E24" s="9"/>
      <c r="F24" s="31">
        <f>Division1[[#This Row],[UNIT PRICE]]*Division1[[#This Row],[QTY]]</f>
        <v>0</v>
      </c>
    </row>
    <row r="25" spans="1:6" x14ac:dyDescent="0.25">
      <c r="A25" s="6">
        <f t="shared" si="0"/>
        <v>12</v>
      </c>
      <c r="B25" s="7" t="s">
        <v>36</v>
      </c>
      <c r="C25" s="8" t="s">
        <v>33</v>
      </c>
      <c r="D25" s="10">
        <f>D24*0.15-1</f>
        <v>83.78285000000001</v>
      </c>
      <c r="E25" s="9"/>
      <c r="F25" s="31">
        <f>Division1[[#This Row],[UNIT PRICE]]*Division1[[#This Row],[QTY]]</f>
        <v>0</v>
      </c>
    </row>
    <row r="26" spans="1:6" ht="15" customHeight="1" x14ac:dyDescent="0.25">
      <c r="A26" s="6">
        <f t="shared" si="0"/>
        <v>13</v>
      </c>
      <c r="B26" s="7" t="s">
        <v>40</v>
      </c>
      <c r="C26" s="8" t="s">
        <v>19</v>
      </c>
      <c r="D26" s="10">
        <v>124</v>
      </c>
      <c r="E26" s="9"/>
      <c r="F26" s="31">
        <f>'STH 28-W Moraine'!$E26*'STH 28-W Moraine'!$D26</f>
        <v>0</v>
      </c>
    </row>
    <row r="27" spans="1:6" ht="15" customHeight="1" x14ac:dyDescent="0.25">
      <c r="A27" s="6">
        <f t="shared" si="0"/>
        <v>14</v>
      </c>
      <c r="B27" s="7" t="s">
        <v>41</v>
      </c>
      <c r="C27" s="8" t="s">
        <v>19</v>
      </c>
      <c r="D27" s="10">
        <v>134</v>
      </c>
      <c r="E27" s="9"/>
      <c r="F27" s="31">
        <f>'STH 28-W Moraine'!$E27*'STH 28-W Moraine'!$D27</f>
        <v>0</v>
      </c>
    </row>
    <row r="28" spans="1:6" ht="15" customHeight="1" x14ac:dyDescent="0.25">
      <c r="A28" s="6">
        <f t="shared" si="0"/>
        <v>15</v>
      </c>
      <c r="B28" s="7" t="s">
        <v>38</v>
      </c>
      <c r="C28" s="8" t="s">
        <v>19</v>
      </c>
      <c r="D28" s="10">
        <v>50</v>
      </c>
      <c r="E28" s="9"/>
      <c r="F28" s="31">
        <f>'STH 28-W Moraine'!$E28*'STH 28-W Moraine'!$D28</f>
        <v>0</v>
      </c>
    </row>
    <row r="29" spans="1:6" ht="15" customHeight="1" x14ac:dyDescent="0.25">
      <c r="A29" s="6">
        <f t="shared" si="0"/>
        <v>16</v>
      </c>
      <c r="B29" s="7" t="s">
        <v>44</v>
      </c>
      <c r="C29" s="9" t="s">
        <v>25</v>
      </c>
      <c r="D29" s="10">
        <v>6</v>
      </c>
      <c r="E29" s="9"/>
      <c r="F29" s="31">
        <f>'STH 28-W Moraine'!$E29*'STH 28-W Moraine'!$D29</f>
        <v>0</v>
      </c>
    </row>
    <row r="30" spans="1:6" ht="15" customHeight="1" x14ac:dyDescent="0.25">
      <c r="A30" s="6">
        <f t="shared" si="0"/>
        <v>17</v>
      </c>
      <c r="B30" s="7" t="s">
        <v>45</v>
      </c>
      <c r="C30" s="8" t="s">
        <v>25</v>
      </c>
      <c r="D30" s="10">
        <v>6</v>
      </c>
      <c r="E30" s="9"/>
      <c r="F30" s="31">
        <f>'STH 28-W Moraine'!$E30*'STH 28-W Moraine'!$D30</f>
        <v>0</v>
      </c>
    </row>
    <row r="31" spans="1:6" ht="15" customHeight="1" x14ac:dyDescent="0.25">
      <c r="A31" s="6">
        <f t="shared" si="0"/>
        <v>18</v>
      </c>
      <c r="B31" s="5" t="s">
        <v>48</v>
      </c>
      <c r="C31" s="9" t="s">
        <v>25</v>
      </c>
      <c r="D31" s="10">
        <v>2</v>
      </c>
      <c r="E31" s="9"/>
      <c r="F31" s="31">
        <f>'STH 28-W Moraine'!$E31*'STH 28-W Moraine'!$D31</f>
        <v>0</v>
      </c>
    </row>
    <row r="32" spans="1:6" ht="15" customHeight="1" x14ac:dyDescent="0.25">
      <c r="A32" s="6">
        <f t="shared" si="0"/>
        <v>19</v>
      </c>
      <c r="B32" s="5" t="s">
        <v>49</v>
      </c>
      <c r="C32" s="9" t="s">
        <v>19</v>
      </c>
      <c r="D32" s="10">
        <v>1200</v>
      </c>
      <c r="E32" s="9"/>
      <c r="F32" s="31">
        <f>'STH 28-W Moraine'!$E32*'STH 28-W Moraine'!$D32</f>
        <v>0</v>
      </c>
    </row>
    <row r="33" spans="1:6" ht="15" customHeight="1" x14ac:dyDescent="0.25">
      <c r="A33" s="6">
        <f t="shared" si="0"/>
        <v>20</v>
      </c>
      <c r="B33" s="7" t="s">
        <v>50</v>
      </c>
      <c r="C33" s="9" t="s">
        <v>25</v>
      </c>
      <c r="D33" s="10">
        <v>6</v>
      </c>
      <c r="E33" s="9"/>
      <c r="F33" s="31">
        <f>'STH 28-W Moraine'!$E33*'STH 28-W Moraine'!$D33</f>
        <v>0</v>
      </c>
    </row>
    <row r="34" spans="1:6" ht="15" customHeight="1" x14ac:dyDescent="0.25">
      <c r="A34" s="6">
        <f t="shared" si="0"/>
        <v>21</v>
      </c>
      <c r="B34" s="5" t="s">
        <v>51</v>
      </c>
      <c r="C34" s="9" t="s">
        <v>22</v>
      </c>
      <c r="D34" s="10">
        <v>16</v>
      </c>
      <c r="E34" s="9"/>
      <c r="F34" s="31">
        <f>'STH 28-W Moraine'!$E34*'STH 28-W Moraine'!$D34</f>
        <v>0</v>
      </c>
    </row>
    <row r="35" spans="1:6" ht="15" customHeight="1" x14ac:dyDescent="0.25">
      <c r="A35" s="6">
        <f t="shared" si="0"/>
        <v>22</v>
      </c>
      <c r="B35" s="7" t="s">
        <v>52</v>
      </c>
      <c r="C35" s="8" t="s">
        <v>53</v>
      </c>
      <c r="D35" s="18">
        <f>(21.92*3858)/27*1.75*1.01+4</f>
        <v>5540.0299555555557</v>
      </c>
      <c r="E35" s="9"/>
      <c r="F35" s="31">
        <f>'STH 28-W Moraine'!$E35*'STH 28-W Moraine'!$D35</f>
        <v>0</v>
      </c>
    </row>
    <row r="36" spans="1:6" ht="15" customHeight="1" x14ac:dyDescent="0.25">
      <c r="A36" s="6">
        <f t="shared" si="0"/>
        <v>23</v>
      </c>
      <c r="B36" s="7" t="s">
        <v>54</v>
      </c>
      <c r="C36" s="8" t="s">
        <v>22</v>
      </c>
      <c r="D36" s="18">
        <v>11165</v>
      </c>
      <c r="E36" s="9"/>
      <c r="F36" s="31">
        <f>'STH 28-W Moraine'!$E36*'STH 28-W Moraine'!$D36</f>
        <v>0</v>
      </c>
    </row>
    <row r="37" spans="1:6" ht="15" customHeight="1" x14ac:dyDescent="0.25">
      <c r="A37" s="6">
        <f t="shared" si="0"/>
        <v>24</v>
      </c>
      <c r="B37" s="7" t="s">
        <v>55</v>
      </c>
      <c r="C37" s="8" t="s">
        <v>53</v>
      </c>
      <c r="D37" s="15">
        <f>D36*116*2.25/2000*1.02-1</f>
        <v>1485.1731500000001</v>
      </c>
      <c r="E37" s="9"/>
      <c r="F37" s="31">
        <f>'STH 28-W Moraine'!$E37*'STH 28-W Moraine'!$D37</f>
        <v>0</v>
      </c>
    </row>
    <row r="38" spans="1:6" ht="15" customHeight="1" x14ac:dyDescent="0.25">
      <c r="A38" s="6">
        <f t="shared" si="0"/>
        <v>25</v>
      </c>
      <c r="B38" s="7" t="s">
        <v>56</v>
      </c>
      <c r="C38" s="8" t="s">
        <v>22</v>
      </c>
      <c r="D38" s="10">
        <f>D36</f>
        <v>11165</v>
      </c>
      <c r="E38" s="9"/>
      <c r="F38" s="31">
        <f>Division1[[#This Row],[UNIT PRICE]]*Division1[[#This Row],[QTY]]</f>
        <v>0</v>
      </c>
    </row>
    <row r="39" spans="1:6" ht="15" customHeight="1" x14ac:dyDescent="0.25">
      <c r="A39" s="6">
        <f>A36+1</f>
        <v>24</v>
      </c>
      <c r="B39" s="7" t="s">
        <v>57</v>
      </c>
      <c r="C39" s="9" t="s">
        <v>53</v>
      </c>
      <c r="D39" s="18">
        <f>D36*116*1.75/2000*1.02-1</f>
        <v>1154.91245</v>
      </c>
      <c r="E39" s="9"/>
      <c r="F39" s="31">
        <f>'STH 28-W Moraine'!$E39*'STH 28-W Moraine'!$D39</f>
        <v>0</v>
      </c>
    </row>
    <row r="40" spans="1:6" ht="15" customHeight="1" x14ac:dyDescent="0.25">
      <c r="A40" s="6">
        <f>A37+1</f>
        <v>25</v>
      </c>
      <c r="B40" s="7" t="s">
        <v>58</v>
      </c>
      <c r="C40" s="9" t="s">
        <v>22</v>
      </c>
      <c r="D40" s="18">
        <v>110</v>
      </c>
      <c r="E40" s="9"/>
      <c r="F40" s="31">
        <f>'STH 28-W Moraine'!$E40*'STH 28-W Moraine'!$D40</f>
        <v>0</v>
      </c>
    </row>
    <row r="41" spans="1:6" ht="15" customHeight="1" x14ac:dyDescent="0.25">
      <c r="A41" s="6">
        <f t="shared" si="0"/>
        <v>26</v>
      </c>
      <c r="B41" s="7" t="s">
        <v>59</v>
      </c>
      <c r="C41" s="8" t="s">
        <v>22</v>
      </c>
      <c r="D41" s="10">
        <v>775</v>
      </c>
      <c r="E41" s="9"/>
      <c r="F41" s="31">
        <f>'STH 28-W Moraine'!$E41*'STH 28-W Moraine'!$D41</f>
        <v>0</v>
      </c>
    </row>
    <row r="42" spans="1:6" ht="15" customHeight="1" x14ac:dyDescent="0.25">
      <c r="A42" s="6">
        <f t="shared" si="0"/>
        <v>27</v>
      </c>
      <c r="B42" s="7" t="s">
        <v>61</v>
      </c>
      <c r="C42" s="8" t="s">
        <v>22</v>
      </c>
      <c r="D42" s="18">
        <f>D43</f>
        <v>9279.84</v>
      </c>
      <c r="E42" s="9"/>
      <c r="F42" s="31">
        <f>'STH 28-W Moraine'!$E42*'STH 28-W Moraine'!$D42</f>
        <v>0</v>
      </c>
    </row>
    <row r="43" spans="1:6" ht="15" customHeight="1" x14ac:dyDescent="0.25">
      <c r="A43" s="6">
        <f t="shared" si="0"/>
        <v>28</v>
      </c>
      <c r="B43" s="7" t="s">
        <v>62</v>
      </c>
      <c r="C43" s="8" t="s">
        <v>22</v>
      </c>
      <c r="D43" s="18">
        <f>9184*1.01+4</f>
        <v>9279.84</v>
      </c>
      <c r="E43" s="9"/>
      <c r="F43" s="31">
        <f>'STH 28-W Moraine'!$E43*'STH 28-W Moraine'!$D43</f>
        <v>0</v>
      </c>
    </row>
    <row r="44" spans="1:6" ht="15" customHeight="1" x14ac:dyDescent="0.25">
      <c r="A44" s="6">
        <f t="shared" si="0"/>
        <v>29</v>
      </c>
      <c r="B44" s="7" t="s">
        <v>63</v>
      </c>
      <c r="C44" s="8" t="s">
        <v>22</v>
      </c>
      <c r="D44" s="18">
        <f>6419*1.02+3</f>
        <v>6550.38</v>
      </c>
      <c r="E44" s="9"/>
      <c r="F44" s="31">
        <f>'STH 28-W Moraine'!$E44*'STH 28-W Moraine'!$D44</f>
        <v>0</v>
      </c>
    </row>
    <row r="45" spans="1:6" ht="15" customHeight="1" x14ac:dyDescent="0.25">
      <c r="A45" s="6"/>
      <c r="B45" s="7"/>
      <c r="C45" s="8"/>
      <c r="D45" s="18"/>
      <c r="E45" s="9" t="s">
        <v>64</v>
      </c>
      <c r="F45" s="31">
        <f>SUM(F14:F44)</f>
        <v>0</v>
      </c>
    </row>
    <row r="46" spans="1:6" ht="15" customHeight="1" x14ac:dyDescent="0.25">
      <c r="A46" s="6"/>
      <c r="B46" s="7"/>
      <c r="C46" s="8"/>
      <c r="D46" s="18"/>
      <c r="E46" s="9" t="s">
        <v>65</v>
      </c>
      <c r="F46" s="31">
        <f>F45*0.15</f>
        <v>0</v>
      </c>
    </row>
    <row r="47" spans="1:6" ht="15" customHeight="1" x14ac:dyDescent="0.25">
      <c r="A47" s="6"/>
      <c r="B47" s="7"/>
      <c r="C47" s="8"/>
      <c r="D47" s="18"/>
      <c r="E47" s="9" t="s">
        <v>66</v>
      </c>
      <c r="F47" s="31">
        <f>F45+F46</f>
        <v>0</v>
      </c>
    </row>
    <row r="48" spans="1:6" x14ac:dyDescent="0.25">
      <c r="A48" s="6"/>
      <c r="B48" s="7"/>
      <c r="C48" s="9"/>
      <c r="D48" s="18"/>
      <c r="E48" s="9"/>
      <c r="F48" s="31"/>
    </row>
    <row r="49" spans="1:6" x14ac:dyDescent="0.25">
      <c r="A49" s="6"/>
      <c r="B49" s="7"/>
      <c r="C49" s="9"/>
      <c r="D49" s="18"/>
      <c r="E49" s="9"/>
      <c r="F49" s="31"/>
    </row>
    <row r="50" spans="1:6" x14ac:dyDescent="0.25">
      <c r="A50" s="6"/>
      <c r="B50" s="7"/>
      <c r="C50" s="8"/>
      <c r="D50" s="32"/>
      <c r="E50" s="9"/>
      <c r="F50" s="31"/>
    </row>
    <row r="51" spans="1:6" x14ac:dyDescent="0.25">
      <c r="A51" s="6"/>
      <c r="B51" s="7"/>
      <c r="C51" s="8"/>
      <c r="D51" s="18"/>
      <c r="E51" s="9"/>
      <c r="F51" s="31"/>
    </row>
    <row r="52" spans="1:6" x14ac:dyDescent="0.25">
      <c r="A52" s="6"/>
      <c r="B52" s="12"/>
      <c r="C52" s="13"/>
      <c r="D52" s="18"/>
      <c r="E52" s="9"/>
      <c r="F52" s="31"/>
    </row>
    <row r="53" spans="1:6" x14ac:dyDescent="0.25">
      <c r="A53" s="27"/>
      <c r="B53" s="19"/>
      <c r="C53" s="28"/>
      <c r="D53" s="19"/>
      <c r="E53" s="29"/>
      <c r="F53" s="30"/>
    </row>
    <row r="54" spans="1:6" x14ac:dyDescent="0.25">
      <c r="A54" s="20"/>
      <c r="B54" s="21"/>
      <c r="C54" s="22"/>
      <c r="D54" s="21"/>
      <c r="E54" s="23"/>
      <c r="F54" s="16"/>
    </row>
    <row r="55" spans="1:6" x14ac:dyDescent="0.25">
      <c r="A55" s="24"/>
      <c r="B55" s="25"/>
      <c r="C55" s="25"/>
      <c r="D55" s="25"/>
      <c r="E55" s="26"/>
      <c r="F55" s="14"/>
    </row>
    <row r="56" spans="1:6" x14ac:dyDescent="0.25">
      <c r="A56" s="6"/>
      <c r="B56" s="12"/>
      <c r="C56" s="13"/>
      <c r="D56" s="9"/>
      <c r="E56" s="9"/>
      <c r="F56" s="31"/>
    </row>
    <row r="57" spans="1:6" x14ac:dyDescent="0.25">
      <c r="A57" s="6"/>
      <c r="B57" s="7"/>
      <c r="C57" s="8"/>
      <c r="D57" s="9"/>
      <c r="E57" s="9"/>
      <c r="F57" s="31"/>
    </row>
    <row r="58" spans="1:6" x14ac:dyDescent="0.25">
      <c r="A58" s="6"/>
      <c r="B58" s="7"/>
      <c r="C58" s="8"/>
      <c r="D58" s="9"/>
      <c r="E58" s="9"/>
      <c r="F58" s="31"/>
    </row>
    <row r="59" spans="1:6" x14ac:dyDescent="0.25">
      <c r="A59" s="6"/>
      <c r="B59" s="7"/>
      <c r="C59" s="8"/>
      <c r="D59" s="9"/>
      <c r="E59" s="9"/>
      <c r="F59" s="31"/>
    </row>
  </sheetData>
  <mergeCells count="1">
    <mergeCell ref="A4:C4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Base</vt:lpstr>
      <vt:lpstr>CTH H-STH 28</vt:lpstr>
      <vt:lpstr>STH 28-W Moraine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Jacob-PSE</dc:creator>
  <cp:keywords/>
  <dc:description/>
  <cp:lastModifiedBy>Anne Trautner</cp:lastModifiedBy>
  <cp:revision/>
  <dcterms:created xsi:type="dcterms:W3CDTF">2026-09-24T18:25:28Z</dcterms:created>
  <dcterms:modified xsi:type="dcterms:W3CDTF">2026-10-15T11:38:52Z</dcterms:modified>
  <cp:category/>
  <cp:contentStatus/>
</cp:coreProperties>
</file>